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24226"/>
  <workbookProtection workbookAlgorithmName="SHA-512" workbookHashValue="oVlc+EmhCXlkVkpx+Q+XdxEbM9SLJVu+KB4eVcgarFjXDf/HXnoR/el2Y/PlWlM/sZAlH8EaResPZgoXNZZAfQ==" workbookSaltValue="pIxysBE0XP7B1JAVgfT83g==" workbookSpinCount="100000" lockStructure="1"/>
  <bookViews>
    <workbookView xWindow="-110" yWindow="-110" windowWidth="19420" windowHeight="11500" xr2:uid="{00000000-000D-0000-FFFF-FFFF00000000}"/>
  </bookViews>
  <sheets>
    <sheet name="Calculator" sheetId="3" r:id="rId1"/>
    <sheet name="Database" sheetId="2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" i="2" l="1"/>
  <c r="H6" i="2"/>
  <c r="G5" i="2"/>
  <c r="G6" i="2"/>
  <c r="F5" i="2"/>
  <c r="F6" i="2"/>
  <c r="E5" i="2"/>
  <c r="E6" i="2"/>
  <c r="A5" i="2" l="1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E11" i="3" l="1"/>
  <c r="D18" i="3" s="1"/>
  <c r="B25" i="3"/>
  <c r="B19" i="3"/>
  <c r="B18" i="3"/>
  <c r="B15" i="3"/>
  <c r="B22" i="3"/>
  <c r="B24" i="3"/>
  <c r="B21" i="3"/>
  <c r="B16" i="3"/>
  <c r="B28" i="3"/>
  <c r="A30" i="2"/>
  <c r="D16" i="3" l="1"/>
  <c r="D22" i="3"/>
  <c r="D19" i="3"/>
  <c r="D21" i="3"/>
  <c r="B29" i="3"/>
  <c r="D24" i="3" l="1"/>
  <c r="C24" i="3"/>
  <c r="D29" i="3" l="1"/>
  <c r="D25" i="3"/>
  <c r="D30" i="3" s="1"/>
  <c r="C25" i="3"/>
  <c r="D31" i="3" l="1"/>
  <c r="C30" i="3"/>
</calcChain>
</file>

<file path=xl/sharedStrings.xml><?xml version="1.0" encoding="utf-8"?>
<sst xmlns="http://schemas.openxmlformats.org/spreadsheetml/2006/main" count="59" uniqueCount="33">
  <si>
    <t>SI</t>
  </si>
  <si>
    <t>LSI</t>
  </si>
  <si>
    <t>TA</t>
  </si>
  <si>
    <t>TRE</t>
  </si>
  <si>
    <t>Fee Period selection</t>
  </si>
  <si>
    <t>Significance selection</t>
  </si>
  <si>
    <t>Supervisory fee</t>
  </si>
  <si>
    <t>Avg. FD</t>
  </si>
  <si>
    <t>Halved MFC FD</t>
  </si>
  <si>
    <t>significant bank</t>
  </si>
  <si>
    <t>less significant bank</t>
  </si>
  <si>
    <t>Note</t>
  </si>
  <si>
    <t>Significance status of your bank</t>
  </si>
  <si>
    <t xml:space="preserve">Fee period </t>
  </si>
  <si>
    <t>Variable fee component</t>
  </si>
  <si>
    <t>Total estimated annual fee</t>
  </si>
  <si>
    <t xml:space="preserve">https://www.bankingsupervision.europa.eu/organisation/fees/calculator/html/index.en.html </t>
  </si>
  <si>
    <t xml:space="preserve"> </t>
  </si>
  <si>
    <t xml:space="preserve">This calculator is periodically updated with the latest relevant data. Please ensure you are always using the most recent version, which can be found at: </t>
  </si>
  <si>
    <t>Total assets of your bank</t>
  </si>
  <si>
    <t>Total risk exposure of your bank</t>
  </si>
  <si>
    <t>This calculator is only applicable for the full 12 months of the fee period.</t>
  </si>
  <si>
    <t>Estimate your annual supervisory fee</t>
  </si>
  <si>
    <t>Your data (please select and fill in)</t>
  </si>
  <si>
    <t>1) Select and fill in your bank's data in the first grey box
2) Your bank's estimated annual supervisory fee will be shown in the second grey box</t>
  </si>
  <si>
    <t>The fee estimation calculator is provided for indicative purposes only. The results may not reflect your final fee notice.</t>
  </si>
  <si>
    <t>Year</t>
  </si>
  <si>
    <t>Control of drop down list</t>
  </si>
  <si>
    <r>
      <rPr>
        <b/>
        <sz val="11"/>
        <color rgb="FF7030A0"/>
        <rFont val="Calibri"/>
        <family val="2"/>
        <scheme val="minor"/>
      </rPr>
      <t>Source</t>
    </r>
    <r>
      <rPr>
        <sz val="11"/>
        <color rgb="FF7030A0"/>
        <rFont val="Calibri"/>
        <family val="2"/>
        <scheme val="minor"/>
      </rPr>
      <t xml:space="preserve"> for supervisory fee 2026 SI and LSI (=cells D5 and D6): ECB Annual Report on supervisory activities 2025, chapter 7.2 Outlook for expenditure on ECB supervisory tasks 2026.</t>
    </r>
  </si>
  <si>
    <r>
      <rPr>
        <b/>
        <sz val="11"/>
        <color theme="6" tint="-0.249977111117893"/>
        <rFont val="Calibri"/>
        <family val="2"/>
        <scheme val="minor"/>
      </rPr>
      <t>Source</t>
    </r>
    <r>
      <rPr>
        <sz val="11"/>
        <color theme="6" tint="-0.249977111117893"/>
        <rFont val="Calibri"/>
        <family val="2"/>
        <scheme val="minor"/>
      </rPr>
      <t xml:space="preserve"> for supervisory fee until 2025 SI and LSI (=cells D30:D7): annual 'ECB Decision on the total amount of annual supervisory fees', Official Journal of the European Union. </t>
    </r>
  </si>
  <si>
    <r>
      <rPr>
        <b/>
        <sz val="11"/>
        <color theme="1"/>
        <rFont val="Calibri"/>
        <family val="2"/>
        <scheme val="minor"/>
      </rPr>
      <t>Source</t>
    </r>
    <r>
      <rPr>
        <sz val="11"/>
        <color theme="1"/>
        <rFont val="Calibri"/>
        <family val="2"/>
        <scheme val="minor"/>
      </rPr>
      <t xml:space="preserve"> for other values: webpage "How is the annual supervisory fee calculated?" (in its version as annually updated in May).</t>
    </r>
  </si>
  <si>
    <t>see formula; as data for t+1 (=2026) is not yet available, same values as for t (=2025) applied</t>
  </si>
  <si>
    <t>Version as of 08/06/2026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</si>
</sst>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_-[$€-2]\ * #,##0.00_-;\-[$€-2]\ * #,##0.00_-;_-[$€-2]\ 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Open Sans"/>
      <family val="2"/>
    </font>
    <font>
      <b/>
      <sz val="10"/>
      <color theme="1"/>
      <name val="Open Sans"/>
      <family val="2"/>
    </font>
    <font>
      <sz val="10"/>
      <color rgb="FFFF0000"/>
      <name val="Open Sans"/>
      <family val="2"/>
    </font>
    <font>
      <i/>
      <sz val="10"/>
      <color theme="1"/>
      <name val="Open Sans"/>
      <family val="2"/>
    </font>
    <font>
      <b/>
      <sz val="14"/>
      <color theme="1"/>
      <name val="Open Sans"/>
      <family val="2"/>
    </font>
    <font>
      <b/>
      <i/>
      <sz val="10"/>
      <color theme="1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i/>
      <sz val="9"/>
      <name val="Open Sans"/>
      <family val="2"/>
    </font>
    <font>
      <b/>
      <u/>
      <sz val="10"/>
      <color theme="1"/>
      <name val="Open Sans"/>
      <family val="2"/>
    </font>
    <font>
      <u/>
      <sz val="11"/>
      <color theme="10"/>
      <name val="Calibri"/>
      <family val="2"/>
      <scheme val="minor"/>
    </font>
    <font>
      <i/>
      <sz val="9"/>
      <color theme="10"/>
      <name val="Open Sans"/>
      <family val="2"/>
    </font>
    <font>
      <b/>
      <i/>
      <sz val="10"/>
      <color theme="1"/>
      <name val="Calibri"/>
      <family val="2"/>
      <scheme val="minor"/>
    </font>
    <font>
      <u/>
      <sz val="10"/>
      <color theme="10"/>
      <name val="Open Sans"/>
      <family val="2"/>
    </font>
    <font>
      <sz val="10"/>
      <color rgb="FFD9D9D9"/>
      <name val="Open Sans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7"/>
      <color rgb="FF000000"/>
      <name val="Times New Roman"/>
      <family val="1"/>
    </font>
    <font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95">
    <xf numFmtId="0" fontId="0" fillId="0" borderId="0" xfId="0"/>
    <xf numFmtId="0" fontId="3" fillId="0" borderId="0" xfId="0" applyFont="1"/>
    <xf numFmtId="3" fontId="0" fillId="0" borderId="0" xfId="0" applyNumberFormat="1"/>
    <xf numFmtId="0" fontId="0" fillId="0" borderId="0" xfId="0" applyAlignment="1">
      <alignment horizontal="right"/>
    </xf>
    <xf numFmtId="0" fontId="0" fillId="0" borderId="11" xfId="0" applyBorder="1" applyAlignment="1">
      <alignment horizontal="right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0" fillId="2" borderId="0" xfId="0" applyFont="1" applyFill="1" applyAlignment="1">
      <alignment wrapText="1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15" fillId="2" borderId="0" xfId="2" applyFont="1" applyFill="1" applyAlignment="1" applyProtection="1">
      <alignment horizontal="left" vertical="top" wrapText="1"/>
    </xf>
    <xf numFmtId="0" fontId="6" fillId="2" borderId="0" xfId="0" applyFont="1" applyFill="1" applyAlignment="1">
      <alignment horizontal="right" wrapText="1"/>
    </xf>
    <xf numFmtId="0" fontId="5" fillId="3" borderId="1" xfId="0" applyFont="1" applyFill="1" applyBorder="1" applyAlignment="1">
      <alignment wrapText="1"/>
    </xf>
    <xf numFmtId="0" fontId="5" fillId="3" borderId="6" xfId="0" applyFont="1" applyFill="1" applyBorder="1" applyAlignment="1">
      <alignment horizontal="right" wrapText="1"/>
    </xf>
    <xf numFmtId="0" fontId="4" fillId="3" borderId="6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4" fillId="3" borderId="0" xfId="0" applyFont="1" applyFill="1" applyAlignment="1">
      <alignment horizontal="right" wrapText="1"/>
    </xf>
    <xf numFmtId="0" fontId="4" fillId="3" borderId="16" xfId="0" applyFont="1" applyFill="1" applyBorder="1" applyAlignment="1">
      <alignment wrapText="1"/>
    </xf>
    <xf numFmtId="0" fontId="4" fillId="3" borderId="7" xfId="0" applyFont="1" applyFill="1" applyBorder="1" applyAlignment="1">
      <alignment horizontal="right" wrapText="1"/>
    </xf>
    <xf numFmtId="0" fontId="5" fillId="2" borderId="0" xfId="0" applyFont="1" applyFill="1"/>
    <xf numFmtId="0" fontId="9" fillId="2" borderId="0" xfId="0" applyFont="1" applyFill="1" applyAlignment="1">
      <alignment horizontal="right"/>
    </xf>
    <xf numFmtId="4" fontId="16" fillId="0" borderId="0" xfId="0" applyNumberFormat="1" applyFont="1"/>
    <xf numFmtId="0" fontId="7" fillId="2" borderId="0" xfId="0" applyFont="1" applyFill="1" applyAlignment="1">
      <alignment horizontal="right"/>
    </xf>
    <xf numFmtId="0" fontId="4" fillId="3" borderId="8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right"/>
    </xf>
    <xf numFmtId="0" fontId="13" fillId="2" borderId="0" xfId="0" applyFont="1" applyFill="1"/>
    <xf numFmtId="0" fontId="11" fillId="3" borderId="0" xfId="0" applyFont="1" applyFill="1" applyAlignment="1" applyProtection="1">
      <alignment horizontal="right" wrapText="1"/>
      <protection locked="0"/>
    </xf>
    <xf numFmtId="165" fontId="4" fillId="2" borderId="0" xfId="0" applyNumberFormat="1" applyFont="1" applyFill="1"/>
    <xf numFmtId="165" fontId="4" fillId="2" borderId="0" xfId="1" applyNumberFormat="1" applyFont="1" applyFill="1" applyBorder="1" applyProtection="1"/>
    <xf numFmtId="165" fontId="4" fillId="3" borderId="6" xfId="0" applyNumberFormat="1" applyFont="1" applyFill="1" applyBorder="1" applyAlignment="1">
      <alignment wrapText="1"/>
    </xf>
    <xf numFmtId="165" fontId="4" fillId="3" borderId="0" xfId="1" applyNumberFormat="1" applyFont="1" applyFill="1" applyBorder="1" applyAlignment="1" applyProtection="1">
      <alignment wrapText="1"/>
    </xf>
    <xf numFmtId="165" fontId="4" fillId="3" borderId="9" xfId="0" applyNumberFormat="1" applyFont="1" applyFill="1" applyBorder="1" applyAlignment="1">
      <alignment vertical="center" wrapText="1"/>
    </xf>
    <xf numFmtId="165" fontId="5" fillId="3" borderId="7" xfId="0" applyNumberFormat="1" applyFont="1" applyFill="1" applyBorder="1" applyAlignment="1">
      <alignment wrapText="1"/>
    </xf>
    <xf numFmtId="3" fontId="4" fillId="0" borderId="0" xfId="1" applyNumberFormat="1" applyFont="1" applyFill="1" applyBorder="1" applyProtection="1"/>
    <xf numFmtId="0" fontId="17" fillId="2" borderId="0" xfId="2" applyFont="1" applyFill="1" applyAlignment="1" applyProtection="1">
      <alignment vertical="top" wrapText="1"/>
    </xf>
    <xf numFmtId="0" fontId="4" fillId="3" borderId="2" xfId="0" applyFont="1" applyFill="1" applyBorder="1" applyAlignment="1">
      <alignment wrapText="1"/>
    </xf>
    <xf numFmtId="0" fontId="4" fillId="3" borderId="4" xfId="0" applyFont="1" applyFill="1" applyBorder="1" applyAlignment="1">
      <alignment wrapText="1"/>
    </xf>
    <xf numFmtId="0" fontId="4" fillId="3" borderId="4" xfId="0" applyFont="1" applyFill="1" applyBorder="1"/>
    <xf numFmtId="0" fontId="4" fillId="3" borderId="5" xfId="0" applyFont="1" applyFill="1" applyBorder="1"/>
    <xf numFmtId="43" fontId="4" fillId="2" borderId="0" xfId="0" applyNumberFormat="1" applyFont="1" applyFill="1"/>
    <xf numFmtId="0" fontId="4" fillId="3" borderId="2" xfId="0" applyFont="1" applyFill="1" applyBorder="1"/>
    <xf numFmtId="0" fontId="4" fillId="3" borderId="10" xfId="0" applyFont="1" applyFill="1" applyBorder="1" applyAlignment="1">
      <alignment vertical="center"/>
    </xf>
    <xf numFmtId="0" fontId="5" fillId="3" borderId="5" xfId="0" applyFont="1" applyFill="1" applyBorder="1"/>
    <xf numFmtId="165" fontId="11" fillId="3" borderId="0" xfId="0" applyNumberFormat="1" applyFont="1" applyFill="1" applyProtection="1">
      <protection locked="0"/>
    </xf>
    <xf numFmtId="165" fontId="11" fillId="3" borderId="7" xfId="0" applyNumberFormat="1" applyFont="1" applyFill="1" applyBorder="1" applyProtection="1">
      <protection locked="0"/>
    </xf>
    <xf numFmtId="0" fontId="18" fillId="3" borderId="4" xfId="0" applyFont="1" applyFill="1" applyBorder="1" applyAlignment="1">
      <alignment wrapText="1"/>
    </xf>
    <xf numFmtId="0" fontId="19" fillId="0" borderId="0" xfId="0" applyFont="1"/>
    <xf numFmtId="0" fontId="19" fillId="0" borderId="11" xfId="0" applyFont="1" applyBorder="1" applyAlignment="1">
      <alignment horizontal="right"/>
    </xf>
    <xf numFmtId="3" fontId="19" fillId="0" borderId="0" xfId="0" applyNumberFormat="1" applyFont="1"/>
    <xf numFmtId="0" fontId="0" fillId="0" borderId="21" xfId="0" applyBorder="1"/>
    <xf numFmtId="0" fontId="0" fillId="0" borderId="22" xfId="0" applyBorder="1"/>
    <xf numFmtId="0" fontId="19" fillId="0" borderId="21" xfId="0" applyFont="1" applyBorder="1" applyAlignment="1">
      <alignment horizontal="right"/>
    </xf>
    <xf numFmtId="0" fontId="21" fillId="0" borderId="0" xfId="0" applyFont="1"/>
    <xf numFmtId="0" fontId="0" fillId="0" borderId="9" xfId="0" applyBorder="1"/>
    <xf numFmtId="0" fontId="2" fillId="0" borderId="9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3" fontId="19" fillId="0" borderId="0" xfId="0" applyNumberFormat="1" applyFont="1" applyAlignment="1">
      <alignment horizontal="right"/>
    </xf>
    <xf numFmtId="0" fontId="20" fillId="0" borderId="0" xfId="0" applyFont="1"/>
    <xf numFmtId="0" fontId="19" fillId="0" borderId="17" xfId="0" applyFont="1" applyBorder="1" applyAlignment="1">
      <alignment horizontal="right"/>
    </xf>
    <xf numFmtId="0" fontId="19" fillId="0" borderId="18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0" fontId="0" fillId="0" borderId="23" xfId="0" applyBorder="1" applyAlignment="1">
      <alignment horizontal="right"/>
    </xf>
    <xf numFmtId="165" fontId="4" fillId="0" borderId="0" xfId="1" applyNumberFormat="1" applyFont="1" applyFill="1" applyBorder="1" applyProtection="1"/>
    <xf numFmtId="0" fontId="24" fillId="0" borderId="0" xfId="0" applyFont="1"/>
    <xf numFmtId="0" fontId="22" fillId="4" borderId="0" xfId="0" applyFont="1" applyFill="1"/>
    <xf numFmtId="164" fontId="23" fillId="4" borderId="0" xfId="1" applyNumberFormat="1" applyFont="1" applyFill="1"/>
    <xf numFmtId="0" fontId="25" fillId="4" borderId="0" xfId="0" applyFont="1" applyFill="1"/>
    <xf numFmtId="0" fontId="19" fillId="4" borderId="0" xfId="0" applyFont="1" applyFill="1" applyAlignment="1">
      <alignment horizontal="right"/>
    </xf>
    <xf numFmtId="0" fontId="19" fillId="4" borderId="11" xfId="0" applyFont="1" applyFill="1" applyBorder="1" applyAlignment="1">
      <alignment horizontal="right"/>
    </xf>
    <xf numFmtId="0" fontId="19" fillId="4" borderId="0" xfId="0" applyFont="1" applyFill="1"/>
    <xf numFmtId="3" fontId="19" fillId="4" borderId="0" xfId="0" applyNumberFormat="1" applyFont="1" applyFill="1" applyAlignment="1">
      <alignment horizontal="right"/>
    </xf>
    <xf numFmtId="164" fontId="26" fillId="4" borderId="0" xfId="1" applyNumberFormat="1" applyFont="1" applyFill="1"/>
    <xf numFmtId="164" fontId="28" fillId="0" borderId="0" xfId="1" applyNumberFormat="1" applyFont="1" applyFill="1"/>
    <xf numFmtId="164" fontId="28" fillId="0" borderId="0" xfId="1" applyNumberFormat="1" applyFont="1"/>
    <xf numFmtId="164" fontId="28" fillId="4" borderId="0" xfId="1" applyNumberFormat="1" applyFont="1" applyFill="1"/>
    <xf numFmtId="0" fontId="10" fillId="0" borderId="0" xfId="0" applyFont="1" applyAlignment="1">
      <alignment wrapText="1"/>
    </xf>
    <xf numFmtId="0" fontId="12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0" xfId="0" applyFont="1" applyFill="1" applyAlignment="1">
      <alignment horizontal="left" wrapText="1"/>
    </xf>
    <xf numFmtId="0" fontId="5" fillId="3" borderId="14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12" fillId="0" borderId="0" xfId="0" applyFont="1" applyAlignment="1">
      <alignment horizontal="left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6" fillId="0" borderId="0" xfId="0" applyFont="1" applyAlignment="1">
      <alignment horizontal="left" wrapText="1"/>
    </xf>
    <xf numFmtId="0" fontId="28" fillId="0" borderId="0" xfId="0" applyFont="1" applyAlignment="1">
      <alignment horizontal="left" wrapText="1"/>
    </xf>
    <xf numFmtId="0" fontId="0" fillId="0" borderId="0" xfId="0" applyAlignment="1">
      <alignment horizontal="left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7CD757E5-EFA4-4731-B230-5F30BDE2E34E}"/>
  </tableStyles>
  <colors>
    <mruColors>
      <color rgb="FFFFFF99"/>
      <color rgb="FFFFFFCC"/>
      <color rgb="FFD9D9D9"/>
      <color rgb="FFB8ED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556932</xdr:colOff>
      <xdr:row>18</xdr:row>
      <xdr:rowOff>142315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AA50-DECD-4165-8916-F3F3E1D19BFD}"/>
            </a:ext>
          </a:extLst>
        </xdr:cNvPr>
        <xdr:cNvSpPr txBox="1"/>
      </xdr:nvSpPr>
      <xdr:spPr>
        <a:xfrm>
          <a:off x="10048314" y="384025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GB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ankingsupervision.europa.eu/organisation/fees/calculator/html/index.en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A959A-29FB-44B8-AC8E-BA03EA32E72B}">
  <sheetPr codeName="Sheet1"/>
  <dimension ref="A1:L36"/>
  <sheetViews>
    <sheetView showGridLines="0" tabSelected="1" zoomScale="97" zoomScaleNormal="100" workbookViewId="0">
      <selection activeCell="D10" sqref="D10"/>
    </sheetView>
  </sheetViews>
  <sheetFormatPr defaultColWidth="0" defaultRowHeight="14.5" zeroHeight="1" x14ac:dyDescent="0.4"/>
  <cols>
    <col min="1" max="1" width="2.81640625" style="11" customWidth="1"/>
    <col min="2" max="2" width="76.81640625" style="11" customWidth="1"/>
    <col min="3" max="3" width="47.81640625" style="27" customWidth="1"/>
    <col min="4" max="4" width="22.6328125" style="11" customWidth="1"/>
    <col min="5" max="6" width="2.81640625" style="5" customWidth="1"/>
    <col min="7" max="16384" width="4.36328125" style="11" hidden="1"/>
  </cols>
  <sheetData>
    <row r="1" spans="2:6" s="7" customFormat="1" ht="20.5" x14ac:dyDescent="0.55000000000000004">
      <c r="B1" s="88" t="s">
        <v>22</v>
      </c>
      <c r="C1" s="88"/>
      <c r="D1" s="6"/>
      <c r="E1" s="6"/>
      <c r="F1" s="6"/>
    </row>
    <row r="2" spans="2:6" x14ac:dyDescent="0.4">
      <c r="B2" s="81" t="s">
        <v>32</v>
      </c>
      <c r="C2" s="9"/>
      <c r="D2" s="10"/>
      <c r="E2" s="10"/>
      <c r="F2" s="10"/>
    </row>
    <row r="3" spans="2:6" x14ac:dyDescent="0.4">
      <c r="B3" s="82" t="s">
        <v>18</v>
      </c>
      <c r="C3" s="82"/>
      <c r="D3" s="10"/>
      <c r="E3" s="10"/>
      <c r="F3" s="10"/>
    </row>
    <row r="4" spans="2:6" ht="15" customHeight="1" x14ac:dyDescent="0.4">
      <c r="B4" s="12" t="s">
        <v>16</v>
      </c>
      <c r="C4" s="13"/>
      <c r="D4" s="10"/>
      <c r="E4" s="10"/>
      <c r="F4" s="10"/>
    </row>
    <row r="5" spans="2:6" ht="15" customHeight="1" x14ac:dyDescent="0.4">
      <c r="B5" s="89" t="s">
        <v>25</v>
      </c>
      <c r="C5" s="89"/>
      <c r="D5" s="10"/>
      <c r="E5" s="10"/>
      <c r="F5" s="10"/>
    </row>
    <row r="6" spans="2:6" x14ac:dyDescent="0.4">
      <c r="B6" s="37"/>
      <c r="C6" s="13"/>
      <c r="D6" s="10"/>
      <c r="E6" s="10"/>
      <c r="F6" s="10"/>
    </row>
    <row r="7" spans="2:6" ht="31" customHeight="1" x14ac:dyDescent="0.4">
      <c r="B7" s="83" t="s">
        <v>24</v>
      </c>
      <c r="C7" s="83"/>
      <c r="D7" s="8"/>
      <c r="E7" s="8"/>
      <c r="F7" s="10"/>
    </row>
    <row r="8" spans="2:6" ht="15" customHeight="1" thickBot="1" x14ac:dyDescent="0.45">
      <c r="B8" s="10"/>
      <c r="C8" s="9"/>
      <c r="D8" s="10"/>
      <c r="E8" s="10"/>
      <c r="F8" s="10"/>
    </row>
    <row r="9" spans="2:6" ht="15" customHeight="1" x14ac:dyDescent="0.4">
      <c r="B9" s="14" t="s">
        <v>23</v>
      </c>
      <c r="C9" s="15"/>
      <c r="D9" s="16"/>
      <c r="E9" s="38"/>
      <c r="F9" s="10"/>
    </row>
    <row r="10" spans="2:6" ht="15" customHeight="1" x14ac:dyDescent="0.4">
      <c r="B10" s="84" t="s">
        <v>13</v>
      </c>
      <c r="C10" s="85"/>
      <c r="D10" s="29">
        <v>2025</v>
      </c>
      <c r="E10" s="39"/>
      <c r="F10" s="10"/>
    </row>
    <row r="11" spans="2:6" ht="15" customHeight="1" x14ac:dyDescent="0.4">
      <c r="B11" s="17" t="s">
        <v>12</v>
      </c>
      <c r="C11" s="18"/>
      <c r="D11" s="29" t="s">
        <v>9</v>
      </c>
      <c r="E11" s="48" t="str">
        <f>IF(D11="significant bank", "SI",IF(D11="less significant bank","LSI","please select"))</f>
        <v>SI</v>
      </c>
      <c r="F11" s="10"/>
    </row>
    <row r="12" spans="2:6" ht="15" customHeight="1" x14ac:dyDescent="0.4">
      <c r="B12" s="17" t="s">
        <v>19</v>
      </c>
      <c r="C12" s="18"/>
      <c r="D12" s="46"/>
      <c r="E12" s="40"/>
      <c r="F12" s="10"/>
    </row>
    <row r="13" spans="2:6" ht="15" customHeight="1" thickBot="1" x14ac:dyDescent="0.45">
      <c r="B13" s="19" t="s">
        <v>20</v>
      </c>
      <c r="C13" s="20"/>
      <c r="D13" s="47"/>
      <c r="E13" s="41"/>
      <c r="F13" s="10"/>
    </row>
    <row r="14" spans="2:6" x14ac:dyDescent="0.4">
      <c r="D14" s="30"/>
      <c r="E14" s="11"/>
      <c r="F14" s="11"/>
    </row>
    <row r="15" spans="2:6" x14ac:dyDescent="0.4">
      <c r="B15" s="21" t="str">
        <f>"Our data for fee period "&amp;D10</f>
        <v>Our data for fee period 2025</v>
      </c>
      <c r="C15" s="22"/>
      <c r="D15" s="30"/>
      <c r="E15" s="11"/>
      <c r="F15" s="11"/>
    </row>
    <row r="16" spans="2:6" x14ac:dyDescent="0.4">
      <c r="B16" s="10" t="str">
        <f>"Total annual supervisory fee for"&amp;" "&amp;D11&amp;"s"</f>
        <v>Total annual supervisory fee for significant banks</v>
      </c>
      <c r="C16" s="9"/>
      <c r="D16" s="68">
        <f>INDEX(Database!D5:H30,MATCH(CONCATENATE(Calculator!D10,Calculator!E11),Database!A5:A30,0),1)</f>
        <v>659093053</v>
      </c>
      <c r="E16" s="11"/>
      <c r="F16" s="11"/>
    </row>
    <row r="17" spans="2:12" x14ac:dyDescent="0.4">
      <c r="B17" s="8"/>
      <c r="C17" s="9"/>
      <c r="D17" s="31"/>
      <c r="E17" s="11"/>
      <c r="F17" s="11"/>
    </row>
    <row r="18" spans="2:12" x14ac:dyDescent="0.4">
      <c r="B18" s="8" t="str">
        <f>"Average total assets of all "&amp;$D$11 &amp;"s"</f>
        <v>Average total assets of all significant banks</v>
      </c>
      <c r="C18" s="9"/>
      <c r="D18" s="31">
        <f>INDEX(Database!D5:H30,MATCH(CONCATENATE(Calculator!D10,Calculator!E11),Database!A5:A30,0),3)</f>
        <v>24939000000000</v>
      </c>
      <c r="E18" s="11"/>
      <c r="F18" s="42"/>
    </row>
    <row r="19" spans="2:12" x14ac:dyDescent="0.4">
      <c r="B19" s="8" t="str">
        <f>"Average total risk exposure of all "&amp;$D$11 &amp;"s"</f>
        <v>Average total risk exposure of all significant banks</v>
      </c>
      <c r="C19" s="9"/>
      <c r="D19" s="31">
        <f>INDEX(Database!D5:H30,MATCH(CONCATENATE(Calculator!D10,Calculator!E11),Database!A5:A30,0),4)</f>
        <v>7900000000000</v>
      </c>
      <c r="E19" s="11"/>
      <c r="F19" s="11"/>
    </row>
    <row r="20" spans="2:12" x14ac:dyDescent="0.4">
      <c r="B20" s="8"/>
      <c r="C20" s="9"/>
      <c r="D20" s="31"/>
      <c r="E20" s="11"/>
      <c r="F20" s="11"/>
      <c r="L20" s="23"/>
    </row>
    <row r="21" spans="2:12" x14ac:dyDescent="0.4">
      <c r="B21" s="8" t="str">
        <f>"Average number of "&amp;LEFT($D$11,LEN($D$11)-5)&amp;" fee debtors"</f>
        <v>Average number of significant fee debtors</v>
      </c>
      <c r="C21" s="9"/>
      <c r="D21" s="36">
        <f>INDEX(Database!D5:H30,MATCH(CONCATENATE(Calculator!D10,Calculator!E11),Database!A5:A30,0),2)</f>
        <v>113</v>
      </c>
      <c r="E21" s="11"/>
      <c r="F21" s="11"/>
    </row>
    <row r="22" spans="2:12" x14ac:dyDescent="0.4">
      <c r="B22" s="8" t="str">
        <f>"Number of "&amp;LEFT($D$11,LEN($D$11)-5)&amp;" fee debtors for which the minimum fee component was halved"</f>
        <v>Number of significant fee debtors for which the minimum fee component was halved</v>
      </c>
      <c r="C22" s="9"/>
      <c r="D22" s="36">
        <f>INDEX(Database!D5:H30,MATCH(CONCATENATE(Calculator!D10,Calculator!E11),Database!A5:A30,0),5)</f>
        <v>9</v>
      </c>
      <c r="E22" s="11"/>
      <c r="F22" s="11"/>
    </row>
    <row r="23" spans="2:12" x14ac:dyDescent="0.4">
      <c r="B23" s="8"/>
      <c r="C23" s="9"/>
      <c r="D23" s="31"/>
      <c r="E23" s="11"/>
      <c r="F23" s="11"/>
      <c r="L23" s="23"/>
    </row>
    <row r="24" spans="2:12" x14ac:dyDescent="0.4">
      <c r="B24" s="8" t="str">
        <f>"Minimum fee component per "&amp;LEFT($D$11,LEN($D$11)-5)&amp;" fee debtor"</f>
        <v>Minimum fee component per significant fee debtor</v>
      </c>
      <c r="C24" s="24" t="str">
        <f>"(10% * "&amp;$D$16&amp;") / "&amp;$D$21 &amp;" ="</f>
        <v>(10% * 659093053) / 113 =</v>
      </c>
      <c r="D24" s="31">
        <f>ROUND(($D$16*0.1)/$D$21,2)</f>
        <v>583268.18999999994</v>
      </c>
      <c r="E24" s="11"/>
      <c r="F24" s="11"/>
    </row>
    <row r="25" spans="2:12" x14ac:dyDescent="0.4">
      <c r="B25" s="8" t="str">
        <f>"Variable fee component for "&amp;LEFT($D$11,LEN($D$11)-5)&amp;" fee debtors"</f>
        <v>Variable fee component for significant fee debtors</v>
      </c>
      <c r="C25" s="24" t="str">
        <f>D16&amp;" - ("&amp;D21&amp;" - "&amp;D22&amp;") * "&amp;D24&amp;" - "&amp;D22&amp;" * "&amp;D24&amp;" / 2" &amp;" ="</f>
        <v>659093053 - (113 - 9) * 583268.19 - 9 * 583268.19 / 2 =</v>
      </c>
      <c r="D25" s="30">
        <f>ROUND(D16-(D21-D22)*D24-D22*D24/2,2)</f>
        <v>595808454.38999999</v>
      </c>
      <c r="E25" s="11"/>
      <c r="F25" s="11"/>
    </row>
    <row r="26" spans="2:12" x14ac:dyDescent="0.4">
      <c r="B26" s="8"/>
      <c r="C26" s="24"/>
      <c r="D26" s="31"/>
      <c r="E26" s="11"/>
      <c r="F26" s="11"/>
    </row>
    <row r="27" spans="2:12" ht="15" thickBot="1" x14ac:dyDescent="0.45">
      <c r="B27" s="10"/>
      <c r="C27" s="9"/>
      <c r="D27" s="30"/>
      <c r="E27" s="11"/>
      <c r="F27" s="11"/>
    </row>
    <row r="28" spans="2:12" x14ac:dyDescent="0.4">
      <c r="B28" s="14" t="str">
        <f>"Your estimated fee for fee period"&amp;" "&amp;$D$10</f>
        <v>Your estimated fee for fee period 2025</v>
      </c>
      <c r="C28" s="15"/>
      <c r="D28" s="32"/>
      <c r="E28" s="43"/>
      <c r="F28" s="11"/>
    </row>
    <row r="29" spans="2:12" x14ac:dyDescent="0.4">
      <c r="B29" s="17" t="str">
        <f>IF(AND($E$11="SI",$D$12&gt;10000000000),"Minimum fee component",IF(OR(AND($E$11="LSI",$D$12&gt;1000000000),AND(E11="LSI",D10&lt;2020),),"Minimum fee component","Minimum fee component"&amp;" "&amp;"(halved)"))</f>
        <v>Minimum fee component (halved)</v>
      </c>
      <c r="C29" s="18"/>
      <c r="D29" s="33">
        <f>IF(AND($E$11="SI",$D$12&gt;10000000000),$D$24,IF(OR(AND($E$11="LSI",$D$12&gt;1000000000),AND(E11="LSI",D10&lt;2020),),$D$24,$D$24/2))</f>
        <v>291634.09499999997</v>
      </c>
      <c r="E29" s="40"/>
      <c r="F29" s="11"/>
    </row>
    <row r="30" spans="2:12" s="7" customFormat="1" ht="29" x14ac:dyDescent="0.35">
      <c r="B30" s="25" t="s">
        <v>14</v>
      </c>
      <c r="C30" s="26" t="str">
        <f>"(50% * "&amp;D12&amp;" / "&amp;D18&amp;" + 50% * "&amp;D13&amp;" / "&amp;D19&amp;") * "&amp;D25&amp;" ="</f>
        <v>(50% *  / 24939000000000 + 50% *  / 7900000000000) * 595808454.39 =</v>
      </c>
      <c r="D30" s="34">
        <f>(0.5*$D$12/$D$18+0.5*$D$13/$D$19)*$D$25</f>
        <v>0</v>
      </c>
      <c r="E30" s="44"/>
    </row>
    <row r="31" spans="2:12" ht="15" thickBot="1" x14ac:dyDescent="0.45">
      <c r="B31" s="86" t="s">
        <v>15</v>
      </c>
      <c r="C31" s="87"/>
      <c r="D31" s="35">
        <f>ROUND(D29+D30,2)</f>
        <v>291634.09999999998</v>
      </c>
      <c r="E31" s="45"/>
      <c r="F31" s="11"/>
    </row>
    <row r="32" spans="2:12" x14ac:dyDescent="0.4">
      <c r="E32" s="11"/>
      <c r="F32" s="11"/>
    </row>
    <row r="33" spans="2:6" x14ac:dyDescent="0.4">
      <c r="B33" s="28" t="s">
        <v>11</v>
      </c>
      <c r="E33" s="11"/>
      <c r="F33" s="11"/>
    </row>
    <row r="34" spans="2:6" x14ac:dyDescent="0.4">
      <c r="B34" s="11" t="s">
        <v>21</v>
      </c>
      <c r="E34" s="11"/>
      <c r="F34" s="11"/>
    </row>
    <row r="35" spans="2:6" x14ac:dyDescent="0.4">
      <c r="E35" s="11"/>
      <c r="F35" s="11"/>
    </row>
    <row r="36" spans="2:6" hidden="1" x14ac:dyDescent="0.4">
      <c r="F36" s="5" t="s">
        <v>17</v>
      </c>
    </row>
  </sheetData>
  <sheetProtection algorithmName="SHA-512" hashValue="zP2PfkyshXVgWXaOEDyQH5rG4lB7vexlsFwY5iY90McqbaSHZNGIIRRkcJHZQlDi7aqB6WqdXoZJ8RETjxpWLg==" saltValue="8udTUZt/Er7EhmClI9/Mgg==" spinCount="100000" sheet="1" selectLockedCells="1"/>
  <mergeCells count="6">
    <mergeCell ref="B3:C3"/>
    <mergeCell ref="B7:C7"/>
    <mergeCell ref="B10:C10"/>
    <mergeCell ref="B31:C31"/>
    <mergeCell ref="B1:C1"/>
    <mergeCell ref="B5:C5"/>
  </mergeCells>
  <dataValidations count="1">
    <dataValidation allowBlank="1" sqref="D12:D13" xr:uid="{D25F0811-AE06-4CFA-B5A8-D91CCC52C2C7}"/>
  </dataValidations>
  <hyperlinks>
    <hyperlink ref="B4" r:id="rId1" xr:uid="{9268682D-7650-48CD-8B25-7379BC08DAB1}"/>
  </hyperlinks>
  <pageMargins left="0.7" right="0.7" top="0.75" bottom="0.75" header="0.3" footer="0.3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F516C7F-20FB-4875-9691-E317EF5F0CFF}">
          <x14:formula1>
            <xm:f>Database!$L$5:$L$17</xm:f>
          </x14:formula1>
          <xm:sqref>D10</xm:sqref>
        </x14:dataValidation>
        <x14:dataValidation type="list" allowBlank="1" showInputMessage="1" showErrorMessage="1" xr:uid="{78EE27F8-2B3E-4CF1-97A0-6C1F1FAC5EF6}">
          <x14:formula1>
            <xm:f>Database!$K$5:$K$6</xm:f>
          </x14:formula1>
          <xm:sqref>D11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C2C2E-2BE9-45EC-9D44-5F3AF4B95234}">
  <sheetPr codeName="Sheet2">
    <pageSetUpPr fitToPage="1"/>
  </sheetPr>
  <dimension ref="A1:O34"/>
  <sheetViews>
    <sheetView showGridLines="0" zoomScaleNormal="100" workbookViewId="0">
      <selection activeCell="I12" sqref="I12"/>
    </sheetView>
  </sheetViews>
  <sheetFormatPr defaultRowHeight="14.5" x14ac:dyDescent="0.35"/>
  <cols>
    <col min="1" max="1" width="9.36328125" customWidth="1"/>
    <col min="2" max="2" width="6.08984375" customWidth="1"/>
    <col min="3" max="3" width="6.36328125" style="3" customWidth="1"/>
    <col min="4" max="4" width="17" bestFit="1" customWidth="1"/>
    <col min="5" max="5" width="9.6328125" customWidth="1"/>
    <col min="6" max="6" width="20.26953125" customWidth="1"/>
    <col min="7" max="7" width="18.81640625" customWidth="1"/>
    <col min="8" max="8" width="14.36328125" bestFit="1" customWidth="1"/>
    <col min="9" max="9" width="74.26953125" customWidth="1"/>
    <col min="10" max="10" width="3.81640625" customWidth="1"/>
    <col min="11" max="11" width="20.36328125" customWidth="1"/>
    <col min="12" max="12" width="8.81640625" customWidth="1"/>
    <col min="14" max="14" width="13.6328125" bestFit="1" customWidth="1"/>
    <col min="15" max="15" width="14.36328125" bestFit="1" customWidth="1"/>
    <col min="16" max="16" width="13.6328125" customWidth="1"/>
  </cols>
  <sheetData>
    <row r="1" spans="1:15" x14ac:dyDescent="0.35">
      <c r="D1" s="55"/>
    </row>
    <row r="3" spans="1:15" x14ac:dyDescent="0.35">
      <c r="K3" s="90" t="s">
        <v>27</v>
      </c>
      <c r="L3" s="91"/>
    </row>
    <row r="4" spans="1:15" x14ac:dyDescent="0.35">
      <c r="A4" s="56"/>
      <c r="B4" s="57" t="s">
        <v>4</v>
      </c>
      <c r="C4" s="58"/>
      <c r="D4" s="59" t="s">
        <v>6</v>
      </c>
      <c r="E4" s="60" t="s">
        <v>7</v>
      </c>
      <c r="F4" s="60" t="s">
        <v>2</v>
      </c>
      <c r="G4" s="60" t="s">
        <v>3</v>
      </c>
      <c r="H4" s="60" t="s">
        <v>8</v>
      </c>
      <c r="K4" s="61" t="s">
        <v>5</v>
      </c>
      <c r="L4" s="66" t="s">
        <v>26</v>
      </c>
    </row>
    <row r="5" spans="1:15" x14ac:dyDescent="0.35">
      <c r="A5" s="70" t="str">
        <f t="shared" ref="A5:A29" si="0">CONCATENATE(B5,C5)</f>
        <v>2026SI</v>
      </c>
      <c r="B5" s="73">
        <v>2026</v>
      </c>
      <c r="C5" s="74" t="s">
        <v>0</v>
      </c>
      <c r="D5" s="77">
        <v>677000000</v>
      </c>
      <c r="E5" s="71">
        <f t="shared" ref="E5:H6" si="1">E7</f>
        <v>113</v>
      </c>
      <c r="F5" s="71">
        <f t="shared" si="1"/>
        <v>24939000000000</v>
      </c>
      <c r="G5" s="71">
        <f t="shared" si="1"/>
        <v>7900000000000</v>
      </c>
      <c r="H5" s="71">
        <f t="shared" si="1"/>
        <v>9</v>
      </c>
      <c r="I5" s="69" t="s">
        <v>31</v>
      </c>
      <c r="J5" s="49"/>
      <c r="K5" s="64" t="s">
        <v>9</v>
      </c>
      <c r="L5" s="67">
        <v>2026</v>
      </c>
    </row>
    <row r="6" spans="1:15" x14ac:dyDescent="0.35">
      <c r="A6" s="70" t="str">
        <f t="shared" si="0"/>
        <v>2026LSI</v>
      </c>
      <c r="B6" s="73">
        <v>2026</v>
      </c>
      <c r="C6" s="74" t="s">
        <v>1</v>
      </c>
      <c r="D6" s="77">
        <v>29700000</v>
      </c>
      <c r="E6" s="71">
        <f t="shared" si="1"/>
        <v>1904</v>
      </c>
      <c r="F6" s="71">
        <f t="shared" si="1"/>
        <v>4961000000000</v>
      </c>
      <c r="G6" s="71">
        <f t="shared" si="1"/>
        <v>2437000000000</v>
      </c>
      <c r="H6" s="71">
        <f t="shared" si="1"/>
        <v>959</v>
      </c>
      <c r="I6" s="69" t="s">
        <v>31</v>
      </c>
      <c r="J6" s="49"/>
      <c r="K6" s="65" t="s">
        <v>10</v>
      </c>
      <c r="L6" s="54">
        <v>2025</v>
      </c>
    </row>
    <row r="7" spans="1:15" x14ac:dyDescent="0.35">
      <c r="A7" s="72" t="str">
        <f t="shared" si="0"/>
        <v>2025SI</v>
      </c>
      <c r="B7" s="73">
        <v>2025</v>
      </c>
      <c r="C7" s="74" t="s">
        <v>0</v>
      </c>
      <c r="D7" s="80">
        <v>659093053</v>
      </c>
      <c r="E7" s="75">
        <v>113</v>
      </c>
      <c r="F7" s="76">
        <v>24939000000000</v>
      </c>
      <c r="G7" s="76">
        <v>7900000000000</v>
      </c>
      <c r="H7" s="75">
        <v>9</v>
      </c>
      <c r="I7" s="63"/>
      <c r="L7" s="54">
        <v>2024</v>
      </c>
    </row>
    <row r="8" spans="1:15" x14ac:dyDescent="0.35">
      <c r="A8" s="72" t="str">
        <f t="shared" si="0"/>
        <v>2025LSI</v>
      </c>
      <c r="B8" s="73">
        <v>2025</v>
      </c>
      <c r="C8" s="74" t="s">
        <v>1</v>
      </c>
      <c r="D8" s="80">
        <v>30934879</v>
      </c>
      <c r="E8" s="75">
        <v>1904</v>
      </c>
      <c r="F8" s="76">
        <v>4961000000000</v>
      </c>
      <c r="G8" s="76">
        <v>2437000000000</v>
      </c>
      <c r="H8" s="75">
        <v>959</v>
      </c>
      <c r="I8" s="63"/>
      <c r="L8" s="52">
        <v>2023</v>
      </c>
    </row>
    <row r="9" spans="1:15" x14ac:dyDescent="0.35">
      <c r="A9" s="1" t="str">
        <f t="shared" si="0"/>
        <v>2024SI</v>
      </c>
      <c r="B9" s="49">
        <v>2024</v>
      </c>
      <c r="C9" s="50" t="s">
        <v>0</v>
      </c>
      <c r="D9" s="78">
        <v>651368183</v>
      </c>
      <c r="E9" s="49">
        <v>111</v>
      </c>
      <c r="F9" s="62">
        <v>24083000000000</v>
      </c>
      <c r="G9" s="62">
        <v>7535000000000</v>
      </c>
      <c r="H9" s="49">
        <v>9</v>
      </c>
      <c r="L9" s="52">
        <v>2022</v>
      </c>
      <c r="M9" s="1"/>
    </row>
    <row r="10" spans="1:15" x14ac:dyDescent="0.35">
      <c r="A10" s="1" t="str">
        <f t="shared" si="0"/>
        <v>2024LSI</v>
      </c>
      <c r="B10" s="49">
        <v>2024</v>
      </c>
      <c r="C10" s="50" t="s">
        <v>1</v>
      </c>
      <c r="D10" s="78">
        <v>29195937</v>
      </c>
      <c r="E10" s="49">
        <v>1963</v>
      </c>
      <c r="F10" s="62">
        <v>5009000000000</v>
      </c>
      <c r="G10" s="62">
        <v>2464000000000</v>
      </c>
      <c r="H10" s="49">
        <v>1009</v>
      </c>
      <c r="L10" s="52">
        <v>2021</v>
      </c>
    </row>
    <row r="11" spans="1:15" x14ac:dyDescent="0.35">
      <c r="A11" s="1" t="str">
        <f t="shared" si="0"/>
        <v>2023SI</v>
      </c>
      <c r="B11" s="49">
        <v>2023</v>
      </c>
      <c r="C11" s="50" t="s">
        <v>0</v>
      </c>
      <c r="D11" s="78">
        <v>626488841</v>
      </c>
      <c r="E11">
        <v>109</v>
      </c>
      <c r="F11" s="51">
        <v>23838000000000</v>
      </c>
      <c r="G11" s="51">
        <v>7348000000000</v>
      </c>
      <c r="H11">
        <v>8</v>
      </c>
      <c r="L11" s="52">
        <v>2020</v>
      </c>
    </row>
    <row r="12" spans="1:15" x14ac:dyDescent="0.35">
      <c r="A12" s="1" t="str">
        <f t="shared" si="0"/>
        <v>2023LSI</v>
      </c>
      <c r="B12" s="49">
        <v>2023</v>
      </c>
      <c r="C12" s="50" t="s">
        <v>1</v>
      </c>
      <c r="D12" s="78">
        <v>27234696</v>
      </c>
      <c r="E12">
        <v>2042</v>
      </c>
      <c r="F12" s="51">
        <v>5045000000000</v>
      </c>
      <c r="G12" s="51">
        <v>2457000000000</v>
      </c>
      <c r="H12">
        <v>1083</v>
      </c>
      <c r="L12" s="52">
        <v>2019</v>
      </c>
      <c r="O12" s="2"/>
    </row>
    <row r="13" spans="1:15" x14ac:dyDescent="0.35">
      <c r="A13" s="1" t="str">
        <f t="shared" si="0"/>
        <v>2022SI</v>
      </c>
      <c r="B13">
        <v>2022</v>
      </c>
      <c r="C13" s="4" t="s">
        <v>0</v>
      </c>
      <c r="D13" s="78">
        <v>566725313</v>
      </c>
      <c r="E13">
        <v>110</v>
      </c>
      <c r="F13" s="2">
        <v>23165000000000</v>
      </c>
      <c r="G13" s="2">
        <v>7158000000000</v>
      </c>
      <c r="H13">
        <v>11</v>
      </c>
      <c r="L13" s="52">
        <v>2018</v>
      </c>
      <c r="O13" s="2"/>
    </row>
    <row r="14" spans="1:15" x14ac:dyDescent="0.35">
      <c r="A14" s="1" t="str">
        <f t="shared" si="0"/>
        <v>2022LSI</v>
      </c>
      <c r="B14">
        <v>2022</v>
      </c>
      <c r="C14" s="4" t="s">
        <v>1</v>
      </c>
      <c r="D14" s="78">
        <v>26984358</v>
      </c>
      <c r="E14">
        <v>2130</v>
      </c>
      <c r="F14" s="2">
        <v>4934000000000</v>
      </c>
      <c r="G14" s="2">
        <v>2369000000000</v>
      </c>
      <c r="H14">
        <v>1192</v>
      </c>
      <c r="L14" s="52">
        <v>2017</v>
      </c>
      <c r="O14" s="2"/>
    </row>
    <row r="15" spans="1:15" x14ac:dyDescent="0.35">
      <c r="A15" s="1" t="str">
        <f t="shared" si="0"/>
        <v>2021SI</v>
      </c>
      <c r="B15">
        <v>2021</v>
      </c>
      <c r="C15" s="4" t="s">
        <v>0</v>
      </c>
      <c r="D15" s="79">
        <v>546085119</v>
      </c>
      <c r="E15">
        <v>114</v>
      </c>
      <c r="F15" s="2">
        <v>22232000000000</v>
      </c>
      <c r="G15" s="2">
        <v>6930000000000</v>
      </c>
      <c r="H15">
        <v>13</v>
      </c>
      <c r="L15" s="52">
        <v>2016</v>
      </c>
      <c r="O15" s="2"/>
    </row>
    <row r="16" spans="1:15" x14ac:dyDescent="0.35">
      <c r="A16" s="1" t="str">
        <f t="shared" si="0"/>
        <v>2021LSI</v>
      </c>
      <c r="B16">
        <v>2021</v>
      </c>
      <c r="C16" s="4" t="s">
        <v>1</v>
      </c>
      <c r="D16" s="79">
        <v>31377783</v>
      </c>
      <c r="E16">
        <v>2215</v>
      </c>
      <c r="F16" s="2">
        <v>4751000000000</v>
      </c>
      <c r="G16" s="2">
        <v>2248000000000</v>
      </c>
      <c r="H16">
        <v>1296</v>
      </c>
      <c r="L16" s="52">
        <v>2015</v>
      </c>
      <c r="O16" s="2"/>
    </row>
    <row r="17" spans="1:15" x14ac:dyDescent="0.35">
      <c r="A17" s="1" t="str">
        <f t="shared" si="0"/>
        <v>2020SI</v>
      </c>
      <c r="B17">
        <v>2020</v>
      </c>
      <c r="C17" s="4" t="s">
        <v>0</v>
      </c>
      <c r="D17" s="79">
        <v>476526421</v>
      </c>
      <c r="E17">
        <v>112</v>
      </c>
      <c r="F17" s="2">
        <v>20218000000000</v>
      </c>
      <c r="G17" s="2">
        <v>6846000000000</v>
      </c>
      <c r="H17">
        <v>18</v>
      </c>
      <c r="L17" s="53">
        <v>2014</v>
      </c>
      <c r="O17" s="2"/>
    </row>
    <row r="18" spans="1:15" x14ac:dyDescent="0.35">
      <c r="A18" s="1" t="str">
        <f t="shared" si="0"/>
        <v>2020LSI</v>
      </c>
      <c r="B18">
        <v>2020</v>
      </c>
      <c r="C18" s="4" t="s">
        <v>1</v>
      </c>
      <c r="D18" s="79">
        <v>37788285</v>
      </c>
      <c r="E18">
        <v>2318</v>
      </c>
      <c r="F18" s="2">
        <v>4515000000000</v>
      </c>
      <c r="G18" s="2">
        <v>2226000000000</v>
      </c>
      <c r="H18">
        <v>1440</v>
      </c>
    </row>
    <row r="19" spans="1:15" x14ac:dyDescent="0.35">
      <c r="A19" s="1" t="str">
        <f t="shared" si="0"/>
        <v>2019SI</v>
      </c>
      <c r="B19">
        <v>2019</v>
      </c>
      <c r="C19" s="4" t="s">
        <v>0</v>
      </c>
      <c r="D19" s="79">
        <v>524196987</v>
      </c>
      <c r="E19">
        <v>112</v>
      </c>
      <c r="F19" s="2">
        <v>19573000000000</v>
      </c>
      <c r="G19" s="2">
        <v>6610000000000</v>
      </c>
      <c r="H19">
        <v>23</v>
      </c>
    </row>
    <row r="20" spans="1:15" x14ac:dyDescent="0.35">
      <c r="A20" s="1" t="str">
        <f t="shared" si="0"/>
        <v>2019LSI</v>
      </c>
      <c r="B20">
        <v>2019</v>
      </c>
      <c r="C20" s="4" t="s">
        <v>1</v>
      </c>
      <c r="D20" s="79">
        <v>51823349</v>
      </c>
      <c r="E20">
        <v>2440</v>
      </c>
      <c r="F20" s="2">
        <v>4415000000000</v>
      </c>
      <c r="G20" s="2">
        <v>2133000000000</v>
      </c>
      <c r="H20">
        <v>0</v>
      </c>
    </row>
    <row r="21" spans="1:15" x14ac:dyDescent="0.35">
      <c r="A21" s="1" t="str">
        <f t="shared" si="0"/>
        <v>2018SI</v>
      </c>
      <c r="B21">
        <v>2018</v>
      </c>
      <c r="C21" s="4" t="s">
        <v>0</v>
      </c>
      <c r="D21" s="79">
        <v>428485342</v>
      </c>
      <c r="E21">
        <v>115</v>
      </c>
      <c r="F21" s="2">
        <v>19197000000000</v>
      </c>
      <c r="G21" s="2">
        <v>6382000000000</v>
      </c>
      <c r="H21">
        <v>26</v>
      </c>
    </row>
    <row r="22" spans="1:15" x14ac:dyDescent="0.35">
      <c r="A22" s="1" t="str">
        <f t="shared" si="0"/>
        <v>2018LSI</v>
      </c>
      <c r="B22">
        <v>2018</v>
      </c>
      <c r="C22" s="4" t="s">
        <v>1</v>
      </c>
      <c r="D22" s="79">
        <v>46299927</v>
      </c>
      <c r="E22">
        <v>2766</v>
      </c>
      <c r="F22" s="2">
        <v>4675000000000</v>
      </c>
      <c r="G22" s="2">
        <v>2180000000000</v>
      </c>
      <c r="H22">
        <v>0</v>
      </c>
    </row>
    <row r="23" spans="1:15" x14ac:dyDescent="0.35">
      <c r="A23" s="1" t="str">
        <f t="shared" si="0"/>
        <v>2017SI</v>
      </c>
      <c r="B23">
        <v>2017</v>
      </c>
      <c r="C23" s="4" t="s">
        <v>0</v>
      </c>
      <c r="D23" s="79">
        <v>391279654</v>
      </c>
      <c r="E23">
        <v>119</v>
      </c>
      <c r="F23" s="2">
        <v>19781000000000</v>
      </c>
      <c r="G23" s="2">
        <v>6577000000000</v>
      </c>
      <c r="H23">
        <v>19</v>
      </c>
    </row>
    <row r="24" spans="1:15" x14ac:dyDescent="0.35">
      <c r="A24" s="1" t="str">
        <f t="shared" si="0"/>
        <v>2017LSI</v>
      </c>
      <c r="B24">
        <v>2017</v>
      </c>
      <c r="C24" s="4" t="s">
        <v>1</v>
      </c>
      <c r="D24" s="79">
        <v>33677998</v>
      </c>
      <c r="E24">
        <v>2916</v>
      </c>
      <c r="F24" s="2">
        <v>4625000000000</v>
      </c>
      <c r="G24" s="2">
        <v>2141000000000</v>
      </c>
      <c r="H24">
        <v>0</v>
      </c>
    </row>
    <row r="25" spans="1:15" x14ac:dyDescent="0.35">
      <c r="A25" s="1" t="str">
        <f t="shared" si="0"/>
        <v>2016SI</v>
      </c>
      <c r="B25">
        <v>2016</v>
      </c>
      <c r="C25" s="4" t="s">
        <v>0</v>
      </c>
      <c r="D25" s="79">
        <v>357520301</v>
      </c>
      <c r="E25">
        <v>126</v>
      </c>
      <c r="F25" s="2">
        <v>20233000000000</v>
      </c>
      <c r="G25" s="2">
        <v>6773000000000</v>
      </c>
      <c r="H25">
        <v>20</v>
      </c>
    </row>
    <row r="26" spans="1:15" x14ac:dyDescent="0.35">
      <c r="A26" s="1" t="str">
        <f t="shared" si="0"/>
        <v>2016LSI</v>
      </c>
      <c r="B26">
        <v>2016</v>
      </c>
      <c r="C26" s="4" t="s">
        <v>1</v>
      </c>
      <c r="D26" s="79">
        <v>47015721</v>
      </c>
      <c r="E26">
        <v>3077</v>
      </c>
      <c r="F26" s="2">
        <v>4469000000000</v>
      </c>
      <c r="G26" s="2">
        <v>2137000000000</v>
      </c>
      <c r="H26">
        <v>0</v>
      </c>
    </row>
    <row r="27" spans="1:15" x14ac:dyDescent="0.35">
      <c r="A27" s="1" t="str">
        <f t="shared" si="0"/>
        <v>2015SI</v>
      </c>
      <c r="B27">
        <v>2015</v>
      </c>
      <c r="C27" s="4" t="s">
        <v>0</v>
      </c>
      <c r="D27" s="79">
        <v>264068941</v>
      </c>
      <c r="E27">
        <v>117</v>
      </c>
      <c r="F27" s="2">
        <v>20527000000000</v>
      </c>
      <c r="G27" s="2">
        <v>6811000000000</v>
      </c>
      <c r="H27">
        <v>19</v>
      </c>
    </row>
    <row r="28" spans="1:15" x14ac:dyDescent="0.35">
      <c r="A28" s="1" t="str">
        <f t="shared" si="0"/>
        <v>2015LSI</v>
      </c>
      <c r="B28">
        <v>2015</v>
      </c>
      <c r="C28" s="4" t="s">
        <v>1</v>
      </c>
      <c r="D28" s="79">
        <v>31944132</v>
      </c>
      <c r="E28">
        <v>3193</v>
      </c>
      <c r="F28" s="2">
        <v>4669000000000</v>
      </c>
      <c r="G28" s="2">
        <v>2219000000000</v>
      </c>
      <c r="H28">
        <v>0</v>
      </c>
    </row>
    <row r="29" spans="1:15" x14ac:dyDescent="0.35">
      <c r="A29" s="1" t="str">
        <f t="shared" si="0"/>
        <v>2014SI</v>
      </c>
      <c r="B29">
        <v>2014</v>
      </c>
      <c r="C29" s="4" t="s">
        <v>0</v>
      </c>
      <c r="D29" s="79">
        <v>25622812</v>
      </c>
      <c r="E29">
        <v>115</v>
      </c>
      <c r="F29" s="2">
        <v>20527000000000</v>
      </c>
      <c r="G29" s="2">
        <v>6811000000000</v>
      </c>
      <c r="H29">
        <v>15</v>
      </c>
    </row>
    <row r="30" spans="1:15" x14ac:dyDescent="0.35">
      <c r="A30" s="1" t="str">
        <f t="shared" ref="A30" si="2">CONCATENATE(B30,C30)</f>
        <v>2014LSI</v>
      </c>
      <c r="B30">
        <v>2014</v>
      </c>
      <c r="C30" s="4" t="s">
        <v>1</v>
      </c>
      <c r="D30" s="79">
        <v>4350200</v>
      </c>
      <c r="E30">
        <v>3191</v>
      </c>
      <c r="F30" s="2">
        <v>4669000000000</v>
      </c>
      <c r="G30" s="2">
        <v>2219000000000</v>
      </c>
      <c r="H30">
        <v>0</v>
      </c>
    </row>
    <row r="32" spans="1:15" ht="48" customHeight="1" x14ac:dyDescent="0.35">
      <c r="D32" s="92" t="s">
        <v>28</v>
      </c>
      <c r="E32" s="92"/>
      <c r="F32" s="92"/>
      <c r="G32" s="92"/>
      <c r="H32" s="92"/>
    </row>
    <row r="33" spans="4:8" ht="36.4" customHeight="1" x14ac:dyDescent="0.35">
      <c r="D33" s="93" t="s">
        <v>29</v>
      </c>
      <c r="E33" s="93"/>
      <c r="F33" s="93"/>
      <c r="G33" s="93"/>
      <c r="H33" s="93"/>
    </row>
    <row r="34" spans="4:8" ht="34.4" customHeight="1" x14ac:dyDescent="0.35">
      <c r="D34" s="94" t="s">
        <v>30</v>
      </c>
      <c r="E34" s="94"/>
      <c r="F34" s="94"/>
      <c r="G34" s="94"/>
      <c r="H34" s="94"/>
    </row>
  </sheetData>
  <mergeCells count="4">
    <mergeCell ref="K3:L3"/>
    <mergeCell ref="D32:H32"/>
    <mergeCell ref="D33:H33"/>
    <mergeCell ref="D34:H34"/>
  </mergeCells>
  <pageMargins left="0.7" right="0.7" top="0.75" bottom="0.75" header="0.3" footer="0.3"/>
  <pageSetup paperSize="9" scale="84" orientation="landscape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W K c X L c 9 H Q G l A A A A 9 w A A A B I A H A B D b 2 5 m a W c v U G F j a 2 F n Z S 5 4 b W w g o h g A K K A U A A A A A A A A A A A A A A A A A A A A A A A A A A A A h Y 9 N D o I w G E S v Q r q n P 2 A M I R 9 l 4 V Y S E 6 J x 2 9 Q K j V A M L Z a 7 u f B I X k G M o u 5 c z p u 3 m L l f b 5 C P b R N c V G 9 1 Z z L E M E W B M r I 7 a F N l a H D H M E E 5 h 4 2 Q J 1 G p Y J K N T U d 7 y F D t 3 D k l x H u P f Y y 7 v i I R p Y z s i 3 U p a 9 U K 9 J H 1 f z n U x j p h p E I c d q 8 x P M J s s c Q s o T G m Q G Y K h T Z f I 5 o G P 9 s f C K u h c U O v u D L h t g Q y R y D v E / w B U E s D B B Q A A g A I A G F i n F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h Y p x c K I p H u A 4 A A A A R A A A A E w A c A E Z v c m 1 1 b G F z L 1 N l Y 3 R p b 2 4 x L m 0 g o h g A K K A U A A A A A A A A A A A A A A A A A A A A A A A A A A A A K 0 5 N L s n M z 1 M I h t C G 1 g B Q S w E C L Q A U A A I A C A B h Y p x c t z 0 d A a U A A A D 3 A A A A E g A A A A A A A A A A A A A A A A A A A A A A Q 2 9 u Z m l n L 1 B h Y 2 t h Z 2 U u e G 1 s U E s B A i 0 A F A A C A A g A Y W K c X A / K 6 a u k A A A A 6 Q A A A B M A A A A A A A A A A A A A A A A A 8 Q A A A F t D b 2 5 0 Z W 5 0 X 1 R 5 c G V z X S 5 4 b W x Q S w E C L Q A U A A I A C A B h Y p x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l I B f h M H P l 0 + 7 N c S M v 2 y / y g A A A A A C A A A A A A A Q Z g A A A A E A A C A A A A D W l g q T 5 p 9 c G k d A v o V R B T c S Z w w J h 7 T O B X N V w 9 U A r / 4 H R g A A A A A O g A A A A A I A A C A A A A B S F K 8 4 k 7 E 9 0 K 7 6 e M i U + x t / w t 4 + 9 H 2 c E x I 0 L y F f Z 8 + X w 1 A A A A D c j P g x m i Z C m p a 5 P 8 n y g D L A T t 1 h R M k v / a B v j k f U 9 r q 9 3 1 Q d r k y 5 z v h F I z d o X Y n Y d N N c K i + w Z 2 C D O 9 y d h h p s S U u d c g 5 + l Q 4 z 6 c H 3 v 9 s 4 r + T 4 s E A A A A C R Q 3 q Z 4 9 t o Q r k M i R W O o 6 l s d 5 D T w d 5 X N y 7 5 J l c p j W 9 2 J B i 0 m 4 c P Y 6 y m y T O C L A M W e W m o Z v W k i G 7 D t e r p A + S 6 t V Q g < / D a t a M a s h u p > 
</file>

<file path=customXml/itemProps1.xml><?xml version="1.0" encoding="utf-8"?>
<ds:datastoreItem xmlns:ds="http://schemas.openxmlformats.org/officeDocument/2006/customXml" ds:itemID="{D6A22907-57B8-4214-A7BD-803E71749E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2023-05-12T10:13:32Z</dcterms:created>
  <dcterms:modified xsi:type="dcterms:W3CDTF">2026-06-08T09:40:33Z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94145f4-aec7-4462-867f-61720b9452af_Enabled">
    <vt:lpwstr>true</vt:lpwstr>
  </property>
  <property fmtid="{D5CDD505-2E9C-101B-9397-08002B2CF9AE}" pid="3" name="MSIP_Label_894145f4-aec7-4462-867f-61720b9452af_SetDate">
    <vt:lpwstr>2026-06-08T11:59:43Z</vt:lpwstr>
  </property>
  <property fmtid="{D5CDD505-2E9C-101B-9397-08002B2CF9AE}" pid="4" name="MSIP_Label_894145f4-aec7-4462-867f-61720b9452af_Method">
    <vt:lpwstr>Standard</vt:lpwstr>
  </property>
  <property fmtid="{D5CDD505-2E9C-101B-9397-08002B2CF9AE}" pid="5" name="MSIP_Label_894145f4-aec7-4462-867f-61720b9452af_Name">
    <vt:lpwstr>ECB-CONFIDENTIAL - Business</vt:lpwstr>
  </property>
  <property fmtid="{D5CDD505-2E9C-101B-9397-08002B2CF9AE}" pid="6" name="MSIP_Label_894145f4-aec7-4462-867f-61720b9452af_SiteId">
    <vt:lpwstr>b84ee435-4816-49d2-8d92-e740dbda4064</vt:lpwstr>
  </property>
  <property fmtid="{D5CDD505-2E9C-101B-9397-08002B2CF9AE}" pid="7" name="MSIP_Label_894145f4-aec7-4462-867f-61720b9452af_ActionId">
    <vt:lpwstr>f2ca4c23-d699-4f73-96c5-3f0d4652cea3</vt:lpwstr>
  </property>
  <property fmtid="{D5CDD505-2E9C-101B-9397-08002B2CF9AE}" pid="8" name="MSIP_Label_894145f4-aec7-4462-867f-61720b9452af_ContentBits">
    <vt:lpwstr>0</vt:lpwstr>
  </property>
</Properties>
</file>