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workbookProtection workbookAlgorithmName="SHA-512" workbookHashValue="DXSfKTozs+0qVvrVu3L12T4rloOKR/AesZ6JPuT4EZHrB0SbPl2QcCaV+TR1/xm8Uz+4njpPHONtqBIWFVyKBA==" workbookSaltValue="sNgMpeZ5d7QWNaSzEDUhEQ==" workbookSpinCount="100000" lockStructure="1"/>
  <bookViews>
    <workbookView xWindow="-38115" yWindow="180" windowWidth="20085" windowHeight="13350" xr2:uid="{00000000-000D-0000-FFFF-FFFF00000000}"/>
  </bookViews>
  <sheets>
    <sheet name="Calculator" sheetId="3" r:id="rId1"/>
    <sheet name="Database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" l="1"/>
  <c r="H6" i="2"/>
  <c r="F5" i="2"/>
  <c r="G5" i="2"/>
  <c r="F6" i="2"/>
  <c r="G6" i="2"/>
  <c r="E5" i="2"/>
  <c r="E6" i="2"/>
  <c r="A5" i="2"/>
  <c r="A6" i="2"/>
  <c r="A8" i="2"/>
  <c r="A7" i="2"/>
  <c r="E11" i="3"/>
  <c r="D22" i="3" s="1"/>
  <c r="B25" i="3"/>
  <c r="B19" i="3"/>
  <c r="B18" i="3"/>
  <c r="B15" i="3"/>
  <c r="B22" i="3"/>
  <c r="B24" i="3"/>
  <c r="B21" i="3"/>
  <c r="B16" i="3"/>
  <c r="B28" i="3"/>
  <c r="A10" i="2"/>
  <c r="A9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11" i="2"/>
  <c r="D16" i="3" l="1"/>
  <c r="D18" i="3"/>
  <c r="D19" i="3"/>
  <c r="D21" i="3"/>
  <c r="B29" i="3"/>
  <c r="D24" i="3" l="1"/>
  <c r="D29" i="3" s="1"/>
  <c r="C24" i="3"/>
  <c r="C25" i="3" l="1"/>
  <c r="D25" i="3"/>
  <c r="D30" i="3" s="1"/>
  <c r="D31" i="3" s="1"/>
  <c r="C30" i="3" l="1"/>
</calcChain>
</file>

<file path=xl/sharedStrings.xml><?xml version="1.0" encoding="utf-8"?>
<sst xmlns="http://schemas.openxmlformats.org/spreadsheetml/2006/main" count="54" uniqueCount="30">
  <si>
    <t>SI</t>
  </si>
  <si>
    <t>LSI</t>
  </si>
  <si>
    <t>TA</t>
  </si>
  <si>
    <t>TRE</t>
  </si>
  <si>
    <t>Fee Period selection</t>
  </si>
  <si>
    <t>Significance selection</t>
  </si>
  <si>
    <t>Supervisory fee</t>
  </si>
  <si>
    <t>Avg. FD</t>
  </si>
  <si>
    <t>Halved MFC FD</t>
  </si>
  <si>
    <t>significant bank</t>
  </si>
  <si>
    <t>less significant bank</t>
  </si>
  <si>
    <t>Note</t>
  </si>
  <si>
    <t>Significance status of your bank</t>
  </si>
  <si>
    <t xml:space="preserve">Fee period </t>
  </si>
  <si>
    <t>Variable fee component</t>
  </si>
  <si>
    <t>Total estimated annual fee</t>
  </si>
  <si>
    <t xml:space="preserve">https://www.bankingsupervision.europa.eu/organisation/fees/calculator/html/index.en.html </t>
  </si>
  <si>
    <t xml:space="preserve"> </t>
  </si>
  <si>
    <t xml:space="preserve">This calculator is periodically updated with the latest relevant data. Please ensure you are always using the most recent version, which can be found at: </t>
  </si>
  <si>
    <t>Total assets of your bank</t>
  </si>
  <si>
    <t>Total risk exposure of your bank</t>
  </si>
  <si>
    <t>This calculator is only applicable for the full 12 months of the fee period.</t>
  </si>
  <si>
    <t>Estimate your annual supervisory fee</t>
  </si>
  <si>
    <t>Your data (please select and fill in)</t>
  </si>
  <si>
    <t>1) Select and fill in your bank's data in the first grey box
2) Your bank's estimated annual supervisory fee will be shown in the second grey box</t>
  </si>
  <si>
    <t>The fee estimation calculator is provided for indicative purposes only. The results may not reflect your final fee notice.</t>
  </si>
  <si>
    <t>Year</t>
  </si>
  <si>
    <t>be aware of formulas in this line</t>
  </si>
  <si>
    <t>Control of drop down list</t>
  </si>
  <si>
    <t>Version as of 20/05/2025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</si>
</sst>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FF0000"/>
      <name val="Open Sans"/>
      <family val="2"/>
    </font>
    <font>
      <i/>
      <sz val="10"/>
      <color theme="1"/>
      <name val="Open Sans"/>
      <family val="2"/>
    </font>
    <font>
      <b/>
      <sz val="14"/>
      <color theme="1"/>
      <name val="Open Sans"/>
      <family val="2"/>
    </font>
    <font>
      <b/>
      <i/>
      <sz val="10"/>
      <color theme="1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i/>
      <sz val="9"/>
      <name val="Open Sans"/>
      <family val="2"/>
    </font>
    <font>
      <b/>
      <u/>
      <sz val="10"/>
      <color theme="1"/>
      <name val="Open Sans"/>
      <family val="2"/>
    </font>
    <font>
      <u/>
      <sz val="11"/>
      <color theme="10"/>
      <name val="Calibri"/>
      <family val="2"/>
      <scheme val="minor"/>
    </font>
    <font>
      <i/>
      <sz val="9"/>
      <color theme="10"/>
      <name val="Open Sans"/>
      <family val="2"/>
    </font>
    <font>
      <b/>
      <i/>
      <sz val="10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10"/>
      <color rgb="FFD9D9D9"/>
      <name val="Open Sans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6">
    <xf numFmtId="0" fontId="0" fillId="0" borderId="0" xfId="0"/>
    <xf numFmtId="164" fontId="0" fillId="0" borderId="0" xfId="1" applyNumberFormat="1" applyFont="1"/>
    <xf numFmtId="0" fontId="3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horizontal="right" wrapText="1"/>
    </xf>
    <xf numFmtId="0" fontId="4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15" fillId="2" borderId="0" xfId="2" applyFont="1" applyFill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right" wrapText="1"/>
    </xf>
    <xf numFmtId="0" fontId="5" fillId="3" borderId="1" xfId="0" applyFont="1" applyFill="1" applyBorder="1" applyAlignment="1" applyProtection="1">
      <alignment wrapText="1"/>
    </xf>
    <xf numFmtId="0" fontId="5" fillId="3" borderId="6" xfId="0" applyFont="1" applyFill="1" applyBorder="1" applyAlignment="1" applyProtection="1">
      <alignment horizontal="right" wrapText="1"/>
    </xf>
    <xf numFmtId="0" fontId="4" fillId="3" borderId="6" xfId="0" applyFont="1" applyFill="1" applyBorder="1" applyAlignment="1" applyProtection="1">
      <alignment wrapText="1"/>
    </xf>
    <xf numFmtId="0" fontId="4" fillId="3" borderId="3" xfId="0" applyFont="1" applyFill="1" applyBorder="1" applyAlignment="1" applyProtection="1">
      <alignment wrapText="1"/>
    </xf>
    <xf numFmtId="0" fontId="4" fillId="3" borderId="0" xfId="0" applyFont="1" applyFill="1" applyBorder="1" applyAlignment="1" applyProtection="1">
      <alignment horizontal="right" wrapText="1"/>
    </xf>
    <xf numFmtId="0" fontId="4" fillId="3" borderId="16" xfId="0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horizontal="right" wrapText="1"/>
    </xf>
    <xf numFmtId="0" fontId="5" fillId="2" borderId="0" xfId="0" applyFont="1" applyFill="1" applyProtection="1"/>
    <xf numFmtId="0" fontId="9" fillId="2" borderId="0" xfId="0" applyFont="1" applyFill="1" applyAlignment="1" applyProtection="1">
      <alignment horizontal="right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wrapText="1"/>
    </xf>
    <xf numFmtId="0" fontId="10" fillId="2" borderId="0" xfId="0" applyFont="1" applyFill="1" applyBorder="1" applyAlignment="1" applyProtection="1">
      <alignment wrapText="1"/>
    </xf>
    <xf numFmtId="4" fontId="16" fillId="0" borderId="0" xfId="0" applyNumberFormat="1" applyFont="1" applyProtection="1"/>
    <xf numFmtId="0" fontId="7" fillId="2" borderId="0" xfId="0" applyFont="1" applyFill="1" applyAlignment="1" applyProtection="1">
      <alignment horizontal="right"/>
    </xf>
    <xf numFmtId="0" fontId="4" fillId="3" borderId="8" xfId="0" applyFont="1" applyFill="1" applyBorder="1" applyAlignment="1" applyProtection="1">
      <alignment vertical="center" wrapText="1"/>
    </xf>
    <xf numFmtId="0" fontId="7" fillId="3" borderId="9" xfId="0" applyFont="1" applyFill="1" applyBorder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right"/>
    </xf>
    <xf numFmtId="0" fontId="13" fillId="2" borderId="0" xfId="0" applyFont="1" applyFill="1" applyProtection="1"/>
    <xf numFmtId="0" fontId="11" fillId="3" borderId="0" xfId="0" applyFont="1" applyFill="1" applyBorder="1" applyAlignment="1" applyProtection="1">
      <alignment horizontal="right" wrapText="1"/>
      <protection locked="0"/>
    </xf>
    <xf numFmtId="165" fontId="4" fillId="2" borderId="0" xfId="0" applyNumberFormat="1" applyFont="1" applyFill="1" applyProtection="1"/>
    <xf numFmtId="165" fontId="4" fillId="2" borderId="0" xfId="1" applyNumberFormat="1" applyFont="1" applyFill="1" applyBorder="1" applyProtection="1"/>
    <xf numFmtId="165" fontId="4" fillId="2" borderId="0" xfId="0" applyNumberFormat="1" applyFont="1" applyFill="1" applyBorder="1" applyProtection="1"/>
    <xf numFmtId="165" fontId="4" fillId="3" borderId="6" xfId="0" applyNumberFormat="1" applyFont="1" applyFill="1" applyBorder="1" applyAlignment="1" applyProtection="1">
      <alignment wrapText="1"/>
    </xf>
    <xf numFmtId="165" fontId="4" fillId="3" borderId="0" xfId="1" applyNumberFormat="1" applyFont="1" applyFill="1" applyBorder="1" applyAlignment="1" applyProtection="1">
      <alignment wrapText="1"/>
    </xf>
    <xf numFmtId="165" fontId="4" fillId="3" borderId="9" xfId="0" applyNumberFormat="1" applyFont="1" applyFill="1" applyBorder="1" applyAlignment="1" applyProtection="1">
      <alignment vertical="center" wrapText="1"/>
    </xf>
    <xf numFmtId="165" fontId="5" fillId="3" borderId="7" xfId="0" applyNumberFormat="1" applyFont="1" applyFill="1" applyBorder="1" applyAlignment="1" applyProtection="1">
      <alignment wrapText="1"/>
    </xf>
    <xf numFmtId="0" fontId="0" fillId="0" borderId="0" xfId="0" applyFill="1"/>
    <xf numFmtId="164" fontId="0" fillId="0" borderId="0" xfId="1" applyNumberFormat="1" applyFont="1" applyFill="1"/>
    <xf numFmtId="0" fontId="3" fillId="0" borderId="0" xfId="0" applyFont="1" applyFill="1"/>
    <xf numFmtId="3" fontId="0" fillId="0" borderId="0" xfId="0" applyNumberFormat="1" applyFill="1"/>
    <xf numFmtId="0" fontId="0" fillId="0" borderId="11" xfId="0" applyFill="1" applyBorder="1" applyAlignment="1">
      <alignment horizontal="right"/>
    </xf>
    <xf numFmtId="3" fontId="4" fillId="0" borderId="0" xfId="1" applyNumberFormat="1" applyFont="1" applyFill="1" applyBorder="1" applyProtection="1"/>
    <xf numFmtId="0" fontId="0" fillId="0" borderId="0" xfId="0" applyBorder="1"/>
    <xf numFmtId="0" fontId="0" fillId="0" borderId="0" xfId="0" applyFill="1" applyBorder="1"/>
    <xf numFmtId="0" fontId="17" fillId="2" borderId="0" xfId="2" applyFont="1" applyFill="1" applyAlignment="1" applyProtection="1">
      <alignment vertical="top" wrapText="1"/>
    </xf>
    <xf numFmtId="0" fontId="4" fillId="3" borderId="2" xfId="0" applyFont="1" applyFill="1" applyBorder="1" applyAlignment="1" applyProtection="1">
      <alignment wrapText="1"/>
    </xf>
    <xf numFmtId="0" fontId="4" fillId="3" borderId="4" xfId="0" applyFont="1" applyFill="1" applyBorder="1" applyAlignment="1" applyProtection="1">
      <alignment wrapText="1"/>
    </xf>
    <xf numFmtId="0" fontId="4" fillId="3" borderId="4" xfId="0" applyFont="1" applyFill="1" applyBorder="1" applyProtection="1"/>
    <xf numFmtId="0" fontId="4" fillId="3" borderId="5" xfId="0" applyFont="1" applyFill="1" applyBorder="1" applyProtection="1"/>
    <xf numFmtId="43" fontId="4" fillId="2" borderId="0" xfId="0" applyNumberFormat="1" applyFont="1" applyFill="1" applyBorder="1" applyProtection="1"/>
    <xf numFmtId="0" fontId="4" fillId="3" borderId="2" xfId="0" applyFont="1" applyFill="1" applyBorder="1" applyProtection="1"/>
    <xf numFmtId="0" fontId="4" fillId="3" borderId="1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165" fontId="11" fillId="3" borderId="0" xfId="0" applyNumberFormat="1" applyFont="1" applyFill="1" applyBorder="1" applyProtection="1">
      <protection locked="0"/>
    </xf>
    <xf numFmtId="165" fontId="11" fillId="3" borderId="7" xfId="0" applyNumberFormat="1" applyFont="1" applyFill="1" applyBorder="1" applyProtection="1">
      <protection locked="0"/>
    </xf>
    <xf numFmtId="0" fontId="18" fillId="3" borderId="4" xfId="0" applyFont="1" applyFill="1" applyBorder="1" applyAlignment="1" applyProtection="1">
      <alignment wrapText="1"/>
    </xf>
    <xf numFmtId="0" fontId="19" fillId="0" borderId="0" xfId="0" applyFont="1" applyFill="1"/>
    <xf numFmtId="0" fontId="20" fillId="0" borderId="0" xfId="0" applyFont="1" applyFill="1"/>
    <xf numFmtId="0" fontId="20" fillId="0" borderId="11" xfId="0" applyFont="1" applyFill="1" applyBorder="1" applyAlignment="1">
      <alignment horizontal="right"/>
    </xf>
    <xf numFmtId="164" fontId="20" fillId="0" borderId="0" xfId="1" applyNumberFormat="1" applyFont="1" applyFill="1"/>
    <xf numFmtId="3" fontId="20" fillId="0" borderId="0" xfId="0" applyNumberFormat="1" applyFont="1" applyFill="1"/>
    <xf numFmtId="0" fontId="0" fillId="0" borderId="21" xfId="0" applyFill="1" applyBorder="1"/>
    <xf numFmtId="0" fontId="0" fillId="0" borderId="21" xfId="0" applyBorder="1"/>
    <xf numFmtId="0" fontId="0" fillId="0" borderId="22" xfId="0" applyBorder="1"/>
    <xf numFmtId="0" fontId="20" fillId="0" borderId="21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22" fillId="0" borderId="0" xfId="0" applyFont="1" applyFill="1"/>
    <xf numFmtId="0" fontId="0" fillId="0" borderId="9" xfId="0" applyFill="1" applyBorder="1"/>
    <xf numFmtId="0" fontId="2" fillId="0" borderId="9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23" xfId="0" applyFont="1" applyFill="1" applyBorder="1" applyAlignment="1">
      <alignment horizontal="right"/>
    </xf>
    <xf numFmtId="0" fontId="2" fillId="0" borderId="2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21" fillId="0" borderId="0" xfId="0" applyFont="1" applyFill="1"/>
    <xf numFmtId="0" fontId="20" fillId="0" borderId="0" xfId="0" applyFont="1" applyFill="1" applyBorder="1"/>
    <xf numFmtId="0" fontId="20" fillId="0" borderId="17" xfId="0" applyFont="1" applyFill="1" applyBorder="1" applyAlignment="1">
      <alignment horizontal="right"/>
    </xf>
    <xf numFmtId="0" fontId="20" fillId="0" borderId="23" xfId="0" applyFont="1" applyFill="1" applyBorder="1" applyAlignment="1">
      <alignment horizontal="right"/>
    </xf>
    <xf numFmtId="0" fontId="20" fillId="0" borderId="18" xfId="0" applyFont="1" applyFill="1" applyBorder="1" applyAlignment="1">
      <alignment horizontal="right"/>
    </xf>
    <xf numFmtId="0" fontId="12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wrapText="1"/>
    </xf>
    <xf numFmtId="0" fontId="4" fillId="3" borderId="3" xfId="0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wrapText="1"/>
    </xf>
    <xf numFmtId="0" fontId="5" fillId="3" borderId="14" xfId="0" applyFont="1" applyFill="1" applyBorder="1" applyAlignment="1" applyProtection="1">
      <alignment horizontal="left" wrapText="1"/>
    </xf>
    <xf numFmtId="0" fontId="5" fillId="3" borderId="15" xfId="0" applyFont="1" applyFill="1" applyBorder="1" applyAlignment="1" applyProtection="1">
      <alignment horizontal="left" wrapText="1"/>
    </xf>
    <xf numFmtId="0" fontId="8" fillId="2" borderId="0" xfId="0" applyFont="1" applyFill="1" applyAlignment="1" applyProtection="1">
      <alignment horizontal="left" wrapText="1"/>
    </xf>
    <xf numFmtId="0" fontId="12" fillId="0" borderId="0" xfId="0" applyFont="1" applyFill="1" applyAlignment="1" applyProtection="1">
      <alignment horizontal="left" wrapText="1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7CD757E5-EFA4-4731-B230-5F30BDE2E34E}"/>
  </tableStyles>
  <colors>
    <mruColors>
      <color rgb="FFFFFF99"/>
      <color rgb="FFFFFFCC"/>
      <color rgb="FFD9D9D9"/>
      <color rgb="FFB8E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556932</xdr:colOff>
      <xdr:row>18</xdr:row>
      <xdr:rowOff>142315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AA50-DECD-4165-8916-F3F3E1D19BFD}"/>
            </a:ext>
          </a:extLst>
        </xdr:cNvPr>
        <xdr:cNvSpPr txBox="1"/>
      </xdr:nvSpPr>
      <xdr:spPr>
        <a:xfrm>
          <a:off x="10048314" y="384025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kingsupervision.europa.eu/organisation/fees/calculator/html/index.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959A-29FB-44B8-AC8E-BA03EA32E72B}">
  <sheetPr codeName="Sheet1"/>
  <dimension ref="A1:L36"/>
  <sheetViews>
    <sheetView showGridLines="0" tabSelected="1" zoomScaleNormal="100" workbookViewId="0">
      <selection activeCell="D10" sqref="D10"/>
    </sheetView>
  </sheetViews>
  <sheetFormatPr defaultColWidth="0" defaultRowHeight="14.5" zeroHeight="1" x14ac:dyDescent="0.4"/>
  <cols>
    <col min="1" max="1" width="2.81640625" style="12" customWidth="1"/>
    <col min="2" max="2" width="76.81640625" style="12" customWidth="1"/>
    <col min="3" max="3" width="47.81640625" style="31" customWidth="1"/>
    <col min="4" max="4" width="22.54296875" style="12" customWidth="1"/>
    <col min="5" max="6" width="2.81640625" style="6" customWidth="1"/>
    <col min="7" max="16384" width="4.453125" style="12" hidden="1"/>
  </cols>
  <sheetData>
    <row r="1" spans="2:6" s="8" customFormat="1" ht="20.5" x14ac:dyDescent="0.55000000000000004">
      <c r="B1" s="92" t="s">
        <v>22</v>
      </c>
      <c r="C1" s="92"/>
      <c r="D1" s="7"/>
      <c r="E1" s="7"/>
      <c r="F1" s="7"/>
    </row>
    <row r="2" spans="2:6" x14ac:dyDescent="0.4">
      <c r="B2" s="9" t="s">
        <v>29</v>
      </c>
      <c r="C2" s="10"/>
      <c r="D2" s="11"/>
      <c r="E2" s="11"/>
      <c r="F2" s="11"/>
    </row>
    <row r="3" spans="2:6" x14ac:dyDescent="0.4">
      <c r="B3" s="86" t="s">
        <v>18</v>
      </c>
      <c r="C3" s="86"/>
      <c r="D3" s="11"/>
      <c r="E3" s="11"/>
      <c r="F3" s="11"/>
    </row>
    <row r="4" spans="2:6" ht="15" customHeight="1" x14ac:dyDescent="0.4">
      <c r="B4" s="13" t="s">
        <v>16</v>
      </c>
      <c r="C4" s="14"/>
      <c r="D4" s="11"/>
      <c r="E4" s="11"/>
      <c r="F4" s="11"/>
    </row>
    <row r="5" spans="2:6" ht="15" customHeight="1" x14ac:dyDescent="0.4">
      <c r="B5" s="93" t="s">
        <v>25</v>
      </c>
      <c r="C5" s="93"/>
      <c r="D5" s="11"/>
      <c r="E5" s="11"/>
      <c r="F5" s="11"/>
    </row>
    <row r="6" spans="2:6" x14ac:dyDescent="0.4">
      <c r="B6" s="49"/>
      <c r="C6" s="14"/>
      <c r="D6" s="11"/>
      <c r="E6" s="11"/>
      <c r="F6" s="11"/>
    </row>
    <row r="7" spans="2:6" ht="31" customHeight="1" x14ac:dyDescent="0.4">
      <c r="B7" s="87" t="s">
        <v>24</v>
      </c>
      <c r="C7" s="87"/>
      <c r="D7" s="9"/>
      <c r="E7" s="9"/>
      <c r="F7" s="11"/>
    </row>
    <row r="8" spans="2:6" ht="15" customHeight="1" thickBot="1" x14ac:dyDescent="0.45">
      <c r="B8" s="11"/>
      <c r="C8" s="10"/>
      <c r="D8" s="11"/>
      <c r="E8" s="11"/>
      <c r="F8" s="11"/>
    </row>
    <row r="9" spans="2:6" ht="15" customHeight="1" x14ac:dyDescent="0.4">
      <c r="B9" s="15" t="s">
        <v>23</v>
      </c>
      <c r="C9" s="16"/>
      <c r="D9" s="17"/>
      <c r="E9" s="50"/>
      <c r="F9" s="11"/>
    </row>
    <row r="10" spans="2:6" ht="15" customHeight="1" x14ac:dyDescent="0.4">
      <c r="B10" s="88" t="s">
        <v>13</v>
      </c>
      <c r="C10" s="89"/>
      <c r="D10" s="33">
        <v>2024</v>
      </c>
      <c r="E10" s="51"/>
      <c r="F10" s="11"/>
    </row>
    <row r="11" spans="2:6" ht="15" customHeight="1" x14ac:dyDescent="0.4">
      <c r="B11" s="18" t="s">
        <v>12</v>
      </c>
      <c r="C11" s="19"/>
      <c r="D11" s="33" t="s">
        <v>9</v>
      </c>
      <c r="E11" s="60" t="str">
        <f>IF(D11="significant bank", "SI",IF(D11="less significant bank","LSI","please select"))</f>
        <v>SI</v>
      </c>
      <c r="F11" s="11"/>
    </row>
    <row r="12" spans="2:6" ht="15" customHeight="1" x14ac:dyDescent="0.4">
      <c r="B12" s="18" t="s">
        <v>19</v>
      </c>
      <c r="C12" s="19"/>
      <c r="D12" s="58"/>
      <c r="E12" s="52"/>
      <c r="F12" s="11"/>
    </row>
    <row r="13" spans="2:6" ht="15" customHeight="1" thickBot="1" x14ac:dyDescent="0.45">
      <c r="B13" s="20" t="s">
        <v>20</v>
      </c>
      <c r="C13" s="21"/>
      <c r="D13" s="59"/>
      <c r="E13" s="53"/>
      <c r="F13" s="11"/>
    </row>
    <row r="14" spans="2:6" x14ac:dyDescent="0.4">
      <c r="D14" s="34"/>
      <c r="E14" s="12"/>
      <c r="F14" s="12"/>
    </row>
    <row r="15" spans="2:6" x14ac:dyDescent="0.4">
      <c r="B15" s="22" t="str">
        <f>"Our data for fee period "&amp;D10</f>
        <v>Our data for fee period 2024</v>
      </c>
      <c r="C15" s="23"/>
      <c r="D15" s="34"/>
      <c r="E15" s="12"/>
      <c r="F15" s="12"/>
    </row>
    <row r="16" spans="2:6" x14ac:dyDescent="0.4">
      <c r="B16" s="24" t="str">
        <f>"Total annual supervisory fee for"&amp;" "&amp;D11&amp;"s"</f>
        <v>Total annual supervisory fee for significant banks</v>
      </c>
      <c r="C16" s="25"/>
      <c r="D16" s="35">
        <f>INDEX(Database!D5:H28,MATCH(CONCATENATE(Calculator!D10,Calculator!E11),Database!A5:A28,0),1)</f>
        <v>651368183</v>
      </c>
      <c r="E16" s="12"/>
      <c r="F16" s="12"/>
    </row>
    <row r="17" spans="2:12" x14ac:dyDescent="0.4">
      <c r="B17" s="26"/>
      <c r="C17" s="25"/>
      <c r="D17" s="35"/>
      <c r="E17" s="12"/>
      <c r="F17" s="12"/>
    </row>
    <row r="18" spans="2:12" x14ac:dyDescent="0.4">
      <c r="B18" s="26" t="str">
        <f>"Average total assets of all "&amp;$D$11 &amp;"s"</f>
        <v>Average total assets of all significant banks</v>
      </c>
      <c r="C18" s="25"/>
      <c r="D18" s="35">
        <f>INDEX(Database!D5:H28,MATCH(CONCATENATE(Calculator!D10,Calculator!E11),Database!A5:A28,0),3)</f>
        <v>24083000000000</v>
      </c>
      <c r="E18" s="12"/>
      <c r="F18" s="54"/>
    </row>
    <row r="19" spans="2:12" x14ac:dyDescent="0.4">
      <c r="B19" s="26" t="str">
        <f>"Average total risk exposure of all "&amp;$D$11 &amp;"s"</f>
        <v>Average total risk exposure of all significant banks</v>
      </c>
      <c r="C19" s="25"/>
      <c r="D19" s="35">
        <f>INDEX(Database!D5:H28,MATCH(CONCATENATE(Calculator!D10,Calculator!E11),Database!A5:A28,0),4)</f>
        <v>7535000000000</v>
      </c>
      <c r="E19" s="12"/>
      <c r="F19" s="12"/>
    </row>
    <row r="20" spans="2:12" x14ac:dyDescent="0.4">
      <c r="B20" s="26"/>
      <c r="C20" s="25"/>
      <c r="D20" s="35"/>
      <c r="E20" s="12"/>
      <c r="F20" s="12"/>
      <c r="L20" s="27"/>
    </row>
    <row r="21" spans="2:12" x14ac:dyDescent="0.4">
      <c r="B21" s="26" t="str">
        <f>"Average number of "&amp;LEFT($D$11,LEN($D$11)-5)&amp;" fee debtors"</f>
        <v>Average number of significant fee debtors</v>
      </c>
      <c r="C21" s="25"/>
      <c r="D21" s="46">
        <f>INDEX(Database!D5:H28,MATCH(CONCATENATE(Calculator!D10,Calculator!E11),Database!A5:A28,0),2)</f>
        <v>111</v>
      </c>
      <c r="E21" s="12"/>
      <c r="F21" s="12"/>
    </row>
    <row r="22" spans="2:12" x14ac:dyDescent="0.4">
      <c r="B22" s="26" t="str">
        <f>"Number of "&amp;LEFT($D$11,LEN($D$11)-5)&amp;" fee debtors for which the minimum fee component was halved"</f>
        <v>Number of significant fee debtors for which the minimum fee component was halved</v>
      </c>
      <c r="C22" s="25"/>
      <c r="D22" s="46">
        <f>INDEX(Database!D5:H28,MATCH(CONCATENATE(Calculator!D10,Calculator!E11),Database!A5:A28,0),5)</f>
        <v>9</v>
      </c>
      <c r="E22" s="12"/>
      <c r="F22" s="12"/>
    </row>
    <row r="23" spans="2:12" x14ac:dyDescent="0.4">
      <c r="B23" s="26"/>
      <c r="C23" s="25"/>
      <c r="D23" s="35"/>
      <c r="E23" s="12"/>
      <c r="F23" s="12"/>
      <c r="L23" s="27"/>
    </row>
    <row r="24" spans="2:12" x14ac:dyDescent="0.4">
      <c r="B24" s="26" t="str">
        <f>"Minimum fee component per "&amp;LEFT($D$11,LEN($D$11)-5)&amp;" fee debtor"</f>
        <v>Minimum fee component per significant fee debtor</v>
      </c>
      <c r="C24" s="28" t="str">
        <f>"(10% * "&amp;$D$16&amp;") / "&amp;$D$21 &amp;" ="</f>
        <v>(10% * 651368183) / 111 =</v>
      </c>
      <c r="D24" s="35">
        <f>ROUND(($D$16*0.1)/$D$21,2)</f>
        <v>586818.18000000005</v>
      </c>
      <c r="E24" s="12"/>
      <c r="F24" s="12"/>
    </row>
    <row r="25" spans="2:12" x14ac:dyDescent="0.4">
      <c r="B25" s="26" t="str">
        <f>"Variable fee component for "&amp;LEFT($D$11,LEN($D$11)-5)&amp;" fee debtors"</f>
        <v>Variable fee component for significant fee debtors</v>
      </c>
      <c r="C25" s="28" t="str">
        <f>D16&amp;" - ("&amp;D21&amp;" - "&amp;D22&amp;") * "&amp;D24&amp;" - "&amp;D22&amp;" * "&amp;D24&amp;" / 2" &amp;" ="</f>
        <v>651368183 - (111 - 9) * 586818.18 - 9 * 586818.18 / 2 =</v>
      </c>
      <c r="D25" s="36">
        <f>ROUND(D16-(D21-D22)*D24-D22*D24/2,2)</f>
        <v>588872046.83000004</v>
      </c>
      <c r="E25" s="12"/>
      <c r="F25" s="12"/>
    </row>
    <row r="26" spans="2:12" x14ac:dyDescent="0.4">
      <c r="B26" s="26"/>
      <c r="C26" s="28"/>
      <c r="D26" s="35"/>
      <c r="E26" s="12"/>
      <c r="F26" s="12"/>
    </row>
    <row r="27" spans="2:12" ht="15" thickBot="1" x14ac:dyDescent="0.45">
      <c r="B27" s="11"/>
      <c r="C27" s="10"/>
      <c r="D27" s="34"/>
      <c r="E27" s="12"/>
      <c r="F27" s="12"/>
    </row>
    <row r="28" spans="2:12" x14ac:dyDescent="0.4">
      <c r="B28" s="15" t="str">
        <f>"Your estimated fee for fee period"&amp;" "&amp;$D$10</f>
        <v>Your estimated fee for fee period 2024</v>
      </c>
      <c r="C28" s="16"/>
      <c r="D28" s="37"/>
      <c r="E28" s="55"/>
      <c r="F28" s="12"/>
    </row>
    <row r="29" spans="2:12" x14ac:dyDescent="0.4">
      <c r="B29" s="18" t="str">
        <f>IF(AND($E$11="SI",$D$12&gt;10000000000),"Minimum fee component",IF(OR(AND($E$11="LSI",$D$12&gt;1000000000),AND(E11="LSI",D10&lt;2020),),"Minimum fee component","Minimum fee component"&amp;" "&amp;"(halved)"))</f>
        <v>Minimum fee component (halved)</v>
      </c>
      <c r="C29" s="19"/>
      <c r="D29" s="38">
        <f>IF(AND($E$11="SI",$D$12&gt;10000000000),$D$24,IF(OR(AND($E$11="LSI",$D$12&gt;1000000000),AND(E11="LSI",D10&lt;2020),),$D$24,$D$24/2))</f>
        <v>293409.09000000003</v>
      </c>
      <c r="E29" s="52"/>
      <c r="F29" s="12"/>
    </row>
    <row r="30" spans="2:12" s="8" customFormat="1" ht="29" x14ac:dyDescent="0.35">
      <c r="B30" s="29" t="s">
        <v>14</v>
      </c>
      <c r="C30" s="30" t="str">
        <f>"(50% * "&amp;D12&amp;" / "&amp;D18&amp;" + 50% * "&amp;D13&amp;" / "&amp;D19&amp;") * "&amp;D25&amp;" ="</f>
        <v>(50% *  / 24083000000000 + 50% *  / 7535000000000) * 588872046.83 =</v>
      </c>
      <c r="D30" s="39">
        <f>(0.5*$D$12/$D$18+0.5*$D$13/$D$19)*$D$25</f>
        <v>0</v>
      </c>
      <c r="E30" s="56"/>
    </row>
    <row r="31" spans="2:12" ht="15" thickBot="1" x14ac:dyDescent="0.45">
      <c r="B31" s="90" t="s">
        <v>15</v>
      </c>
      <c r="C31" s="91"/>
      <c r="D31" s="40">
        <f>ROUND(D29+D30,2)</f>
        <v>293409.09000000003</v>
      </c>
      <c r="E31" s="57"/>
      <c r="F31" s="12"/>
    </row>
    <row r="32" spans="2:12" x14ac:dyDescent="0.4">
      <c r="E32" s="12"/>
      <c r="F32" s="12"/>
    </row>
    <row r="33" spans="2:6" x14ac:dyDescent="0.4">
      <c r="B33" s="32" t="s">
        <v>11</v>
      </c>
      <c r="E33" s="12"/>
      <c r="F33" s="12"/>
    </row>
    <row r="34" spans="2:6" x14ac:dyDescent="0.4">
      <c r="B34" s="12" t="s">
        <v>21</v>
      </c>
      <c r="E34" s="12"/>
      <c r="F34" s="12"/>
    </row>
    <row r="35" spans="2:6" x14ac:dyDescent="0.4">
      <c r="E35" s="12"/>
      <c r="F35" s="12"/>
    </row>
    <row r="36" spans="2:6" hidden="1" x14ac:dyDescent="0.4">
      <c r="F36" s="6" t="s">
        <v>17</v>
      </c>
    </row>
  </sheetData>
  <sheetProtection algorithmName="SHA-512" hashValue="QttOfVNrVaPD4Ycug/OFc8fHZHq7eX2VMPrYq2tDpTAD2sKZdzOEIH6h4nlSHdRMy8n1uWF28EikJNO8dLgBzQ==" saltValue="dZuNGqWerofUDUzg23+HJg==" spinCount="100000" sheet="1" selectLockedCells="1"/>
  <mergeCells count="6">
    <mergeCell ref="B3:C3"/>
    <mergeCell ref="B7:C7"/>
    <mergeCell ref="B10:C10"/>
    <mergeCell ref="B31:C31"/>
    <mergeCell ref="B1:C1"/>
    <mergeCell ref="B5:C5"/>
  </mergeCells>
  <dataValidations count="1">
    <dataValidation allowBlank="1" sqref="D12:D13" xr:uid="{D25F0811-AE06-4CFA-B5A8-D91CCC52C2C7}"/>
  </dataValidations>
  <hyperlinks>
    <hyperlink ref="B4" r:id="rId1" xr:uid="{9268682D-7650-48CD-8B25-7379BC08DAB1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F516C7F-20FB-4875-9691-E317EF5F0CFF}">
          <x14:formula1>
            <xm:f>Database!$L$5:$L$16</xm:f>
          </x14:formula1>
          <xm:sqref>D10</xm:sqref>
        </x14:dataValidation>
        <x14:dataValidation type="list" allowBlank="1" showInputMessage="1" showErrorMessage="1" xr:uid="{78EE27F8-2B3E-4CF1-97A0-6C1F1FAC5EF6}">
          <x14:formula1>
            <xm:f>Database!$K$5:$K$6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2C2E-2BE9-45EC-9D44-5F3AF4B95234}">
  <sheetPr codeName="Sheet2">
    <pageSetUpPr fitToPage="1"/>
  </sheetPr>
  <dimension ref="A1:O28"/>
  <sheetViews>
    <sheetView showGridLines="0" zoomScaleNormal="100" workbookViewId="0"/>
  </sheetViews>
  <sheetFormatPr defaultRowHeight="14.5" x14ac:dyDescent="0.35"/>
  <cols>
    <col min="1" max="1" width="9.453125" customWidth="1"/>
    <col min="2" max="2" width="6.1796875" customWidth="1"/>
    <col min="3" max="3" width="6.453125" style="4" customWidth="1"/>
    <col min="4" max="4" width="17" bestFit="1" customWidth="1"/>
    <col min="5" max="5" width="9.54296875" customWidth="1"/>
    <col min="6" max="6" width="17.54296875" bestFit="1" customWidth="1"/>
    <col min="7" max="7" width="16.453125" bestFit="1" customWidth="1"/>
    <col min="8" max="8" width="14.453125" bestFit="1" customWidth="1"/>
    <col min="9" max="9" width="29.08984375" customWidth="1"/>
    <col min="10" max="10" width="6.453125" customWidth="1"/>
    <col min="11" max="11" width="20.453125" customWidth="1"/>
    <col min="12" max="12" width="8.81640625" customWidth="1"/>
    <col min="14" max="14" width="13.54296875" bestFit="1" customWidth="1"/>
    <col min="15" max="15" width="14.453125" bestFit="1" customWidth="1"/>
    <col min="16" max="16" width="13.54296875" customWidth="1"/>
  </cols>
  <sheetData>
    <row r="1" spans="1:15" x14ac:dyDescent="0.35">
      <c r="A1" s="41"/>
      <c r="B1" s="41"/>
      <c r="C1" s="70"/>
      <c r="D1" s="71"/>
      <c r="E1" s="41"/>
      <c r="F1" s="41"/>
      <c r="G1" s="41"/>
      <c r="H1" s="41"/>
      <c r="I1" s="41"/>
      <c r="J1" s="41"/>
      <c r="K1" s="41"/>
      <c r="L1" s="41"/>
    </row>
    <row r="2" spans="1:15" x14ac:dyDescent="0.35">
      <c r="A2" s="41"/>
      <c r="B2" s="41"/>
      <c r="C2" s="70"/>
      <c r="D2" s="41"/>
      <c r="E2" s="41"/>
      <c r="F2" s="41"/>
      <c r="G2" s="41"/>
      <c r="H2" s="41"/>
      <c r="I2" s="41"/>
      <c r="J2" s="41"/>
      <c r="K2" s="41"/>
      <c r="L2" s="41"/>
    </row>
    <row r="3" spans="1:15" x14ac:dyDescent="0.35">
      <c r="A3" s="41"/>
      <c r="B3" s="41"/>
      <c r="C3" s="70"/>
      <c r="D3" s="41"/>
      <c r="E3" s="41"/>
      <c r="F3" s="41"/>
      <c r="G3" s="41"/>
      <c r="H3" s="41"/>
      <c r="I3" s="41"/>
      <c r="J3" s="48"/>
      <c r="K3" s="94" t="s">
        <v>28</v>
      </c>
      <c r="L3" s="95"/>
    </row>
    <row r="4" spans="1:15" x14ac:dyDescent="0.35">
      <c r="A4" s="72"/>
      <c r="B4" s="73" t="s">
        <v>4</v>
      </c>
      <c r="C4" s="74"/>
      <c r="D4" s="75" t="s">
        <v>6</v>
      </c>
      <c r="E4" s="76" t="s">
        <v>7</v>
      </c>
      <c r="F4" s="76" t="s">
        <v>2</v>
      </c>
      <c r="G4" s="76" t="s">
        <v>3</v>
      </c>
      <c r="H4" s="76" t="s">
        <v>8</v>
      </c>
      <c r="I4" s="41"/>
      <c r="J4" s="48"/>
      <c r="K4" s="77" t="s">
        <v>5</v>
      </c>
      <c r="L4" s="78" t="s">
        <v>26</v>
      </c>
    </row>
    <row r="5" spans="1:15" x14ac:dyDescent="0.35">
      <c r="A5" s="61" t="str">
        <f t="shared" ref="A5:A8" si="0">CONCATENATE(B5,C5)</f>
        <v>2025SI</v>
      </c>
      <c r="B5" s="79">
        <v>2025</v>
      </c>
      <c r="C5" s="63" t="s">
        <v>0</v>
      </c>
      <c r="D5" s="64">
        <v>674400000</v>
      </c>
      <c r="E5" s="62">
        <f>E7</f>
        <v>111</v>
      </c>
      <c r="F5" s="80">
        <f t="shared" ref="F5:G5" si="1">F7</f>
        <v>24083000000000</v>
      </c>
      <c r="G5" s="80">
        <f t="shared" si="1"/>
        <v>7535000000000</v>
      </c>
      <c r="H5" s="62">
        <f>H7</f>
        <v>9</v>
      </c>
      <c r="I5" s="81" t="s">
        <v>27</v>
      </c>
      <c r="J5" s="82"/>
      <c r="K5" s="83" t="s">
        <v>9</v>
      </c>
      <c r="L5" s="84">
        <v>2025</v>
      </c>
    </row>
    <row r="6" spans="1:15" x14ac:dyDescent="0.35">
      <c r="A6" s="61" t="str">
        <f t="shared" si="0"/>
        <v>2025LSI</v>
      </c>
      <c r="B6" s="79">
        <v>2025</v>
      </c>
      <c r="C6" s="63" t="s">
        <v>1</v>
      </c>
      <c r="D6" s="64">
        <v>29400000</v>
      </c>
      <c r="E6" s="62">
        <f>E8</f>
        <v>1963</v>
      </c>
      <c r="F6" s="80">
        <f t="shared" ref="F6:G6" si="2">F8</f>
        <v>5009000000000</v>
      </c>
      <c r="G6" s="80">
        <f t="shared" si="2"/>
        <v>2464000000000</v>
      </c>
      <c r="H6" s="62">
        <f>H8</f>
        <v>1009</v>
      </c>
      <c r="I6" s="81" t="s">
        <v>27</v>
      </c>
      <c r="J6" s="82"/>
      <c r="K6" s="85" t="s">
        <v>10</v>
      </c>
      <c r="L6" s="69">
        <v>2024</v>
      </c>
    </row>
    <row r="7" spans="1:15" s="41" customFormat="1" x14ac:dyDescent="0.35">
      <c r="A7" s="61" t="str">
        <f t="shared" si="0"/>
        <v>2024SI</v>
      </c>
      <c r="B7" s="62">
        <v>2024</v>
      </c>
      <c r="C7" s="63" t="s">
        <v>0</v>
      </c>
      <c r="D7" s="64">
        <v>651368183</v>
      </c>
      <c r="E7" s="62">
        <v>111</v>
      </c>
      <c r="F7" s="80">
        <v>24083000000000</v>
      </c>
      <c r="G7" s="80">
        <v>7535000000000</v>
      </c>
      <c r="H7" s="62">
        <v>9</v>
      </c>
      <c r="J7" s="48"/>
      <c r="K7" s="48"/>
      <c r="L7" s="66">
        <v>2023</v>
      </c>
    </row>
    <row r="8" spans="1:15" s="41" customFormat="1" x14ac:dyDescent="0.35">
      <c r="A8" s="61" t="str">
        <f t="shared" si="0"/>
        <v>2024LSI</v>
      </c>
      <c r="B8" s="62">
        <v>2024</v>
      </c>
      <c r="C8" s="63" t="s">
        <v>1</v>
      </c>
      <c r="D8" s="64">
        <v>29195937</v>
      </c>
      <c r="E8" s="62">
        <v>1963</v>
      </c>
      <c r="F8" s="80">
        <v>5009000000000</v>
      </c>
      <c r="G8" s="80">
        <v>2464000000000</v>
      </c>
      <c r="H8" s="62">
        <v>1009</v>
      </c>
      <c r="J8" s="48"/>
      <c r="K8" s="48"/>
      <c r="L8" s="66">
        <v>2022</v>
      </c>
    </row>
    <row r="9" spans="1:15" s="41" customFormat="1" x14ac:dyDescent="0.35">
      <c r="A9" s="61" t="str">
        <f t="shared" ref="A9:A28" si="3">CONCATENATE(B9,C9)</f>
        <v>2023SI</v>
      </c>
      <c r="B9" s="62">
        <v>2023</v>
      </c>
      <c r="C9" s="63" t="s">
        <v>0</v>
      </c>
      <c r="D9" s="64">
        <v>626488841</v>
      </c>
      <c r="E9" s="41">
        <v>109</v>
      </c>
      <c r="F9" s="65">
        <v>23838000000000</v>
      </c>
      <c r="G9" s="65">
        <v>7348000000000</v>
      </c>
      <c r="H9" s="41">
        <v>8</v>
      </c>
      <c r="J9" s="48"/>
      <c r="K9" s="48"/>
      <c r="L9" s="66">
        <v>2021</v>
      </c>
      <c r="M9" s="43"/>
    </row>
    <row r="10" spans="1:15" s="41" customFormat="1" x14ac:dyDescent="0.35">
      <c r="A10" s="61" t="str">
        <f t="shared" si="3"/>
        <v>2023LSI</v>
      </c>
      <c r="B10" s="62">
        <v>2023</v>
      </c>
      <c r="C10" s="63" t="s">
        <v>1</v>
      </c>
      <c r="D10" s="64">
        <v>27234696</v>
      </c>
      <c r="E10" s="41">
        <v>2042</v>
      </c>
      <c r="F10" s="65">
        <v>5045000000000</v>
      </c>
      <c r="G10" s="65">
        <v>2457000000000</v>
      </c>
      <c r="H10">
        <v>1083</v>
      </c>
      <c r="J10" s="48"/>
      <c r="K10" s="48"/>
      <c r="L10" s="67">
        <v>2020</v>
      </c>
    </row>
    <row r="11" spans="1:15" x14ac:dyDescent="0.35">
      <c r="A11" s="43" t="str">
        <f t="shared" si="3"/>
        <v>2022SI</v>
      </c>
      <c r="B11" s="41">
        <v>2022</v>
      </c>
      <c r="C11" s="45" t="s">
        <v>0</v>
      </c>
      <c r="D11" s="42">
        <v>566725313</v>
      </c>
      <c r="E11" s="41">
        <v>110</v>
      </c>
      <c r="F11" s="44">
        <v>23165000000000</v>
      </c>
      <c r="G11" s="44">
        <v>7158000000000</v>
      </c>
      <c r="H11">
        <v>11</v>
      </c>
      <c r="I11" s="41"/>
      <c r="J11" s="47"/>
      <c r="K11" s="47"/>
      <c r="L11" s="67">
        <v>2019</v>
      </c>
    </row>
    <row r="12" spans="1:15" x14ac:dyDescent="0.35">
      <c r="A12" s="43" t="str">
        <f t="shared" si="3"/>
        <v>2022LSI</v>
      </c>
      <c r="B12" s="41">
        <v>2022</v>
      </c>
      <c r="C12" s="45" t="s">
        <v>1</v>
      </c>
      <c r="D12" s="42">
        <v>26984358</v>
      </c>
      <c r="E12" s="41">
        <v>2130</v>
      </c>
      <c r="F12" s="44">
        <v>4934000000000</v>
      </c>
      <c r="G12" s="44">
        <v>2369000000000</v>
      </c>
      <c r="H12">
        <v>1192</v>
      </c>
      <c r="I12" s="41"/>
      <c r="K12" s="47"/>
      <c r="L12" s="67">
        <v>2018</v>
      </c>
      <c r="O12" s="3"/>
    </row>
    <row r="13" spans="1:15" x14ac:dyDescent="0.35">
      <c r="A13" s="2" t="str">
        <f t="shared" si="3"/>
        <v>2021SI</v>
      </c>
      <c r="B13">
        <v>2021</v>
      </c>
      <c r="C13" s="5" t="s">
        <v>0</v>
      </c>
      <c r="D13" s="1">
        <v>546085119</v>
      </c>
      <c r="E13">
        <v>114</v>
      </c>
      <c r="F13" s="3">
        <v>22232000000000</v>
      </c>
      <c r="G13" s="3">
        <v>6930000000000</v>
      </c>
      <c r="H13">
        <v>13</v>
      </c>
      <c r="K13" s="47"/>
      <c r="L13" s="67">
        <v>2017</v>
      </c>
      <c r="O13" s="3"/>
    </row>
    <row r="14" spans="1:15" x14ac:dyDescent="0.35">
      <c r="A14" s="2" t="str">
        <f t="shared" si="3"/>
        <v>2021LSI</v>
      </c>
      <c r="B14">
        <v>2021</v>
      </c>
      <c r="C14" s="5" t="s">
        <v>1</v>
      </c>
      <c r="D14" s="1">
        <v>31377783</v>
      </c>
      <c r="E14">
        <v>2215</v>
      </c>
      <c r="F14" s="3">
        <v>4751000000000</v>
      </c>
      <c r="G14" s="3">
        <v>2248000000000</v>
      </c>
      <c r="H14">
        <v>1296</v>
      </c>
      <c r="K14" s="47"/>
      <c r="L14" s="67">
        <v>2016</v>
      </c>
      <c r="O14" s="3"/>
    </row>
    <row r="15" spans="1:15" x14ac:dyDescent="0.35">
      <c r="A15" s="2" t="str">
        <f t="shared" si="3"/>
        <v>2020SI</v>
      </c>
      <c r="B15">
        <v>2020</v>
      </c>
      <c r="C15" s="5" t="s">
        <v>0</v>
      </c>
      <c r="D15" s="1">
        <v>476526421</v>
      </c>
      <c r="E15">
        <v>112</v>
      </c>
      <c r="F15" s="3">
        <v>20218000000000</v>
      </c>
      <c r="G15" s="3">
        <v>6846000000000</v>
      </c>
      <c r="H15">
        <v>18</v>
      </c>
      <c r="K15" s="47"/>
      <c r="L15" s="67">
        <v>2015</v>
      </c>
      <c r="O15" s="3"/>
    </row>
    <row r="16" spans="1:15" x14ac:dyDescent="0.35">
      <c r="A16" s="2" t="str">
        <f t="shared" si="3"/>
        <v>2020LSI</v>
      </c>
      <c r="B16">
        <v>2020</v>
      </c>
      <c r="C16" s="5" t="s">
        <v>1</v>
      </c>
      <c r="D16" s="1">
        <v>37788285</v>
      </c>
      <c r="E16">
        <v>2318</v>
      </c>
      <c r="F16" s="3">
        <v>4515000000000</v>
      </c>
      <c r="G16" s="3">
        <v>2226000000000</v>
      </c>
      <c r="H16">
        <v>1440</v>
      </c>
      <c r="K16" s="47"/>
      <c r="L16" s="68">
        <v>2014</v>
      </c>
      <c r="O16" s="3"/>
    </row>
    <row r="17" spans="1:15" x14ac:dyDescent="0.35">
      <c r="A17" s="2" t="str">
        <f t="shared" si="3"/>
        <v>2019SI</v>
      </c>
      <c r="B17">
        <v>2019</v>
      </c>
      <c r="C17" s="5" t="s">
        <v>0</v>
      </c>
      <c r="D17" s="1">
        <v>524196987</v>
      </c>
      <c r="E17">
        <v>112</v>
      </c>
      <c r="F17" s="3">
        <v>19573000000000</v>
      </c>
      <c r="G17" s="3">
        <v>6610000000000</v>
      </c>
      <c r="H17">
        <v>23</v>
      </c>
      <c r="K17" s="47"/>
      <c r="O17" s="3"/>
    </row>
    <row r="18" spans="1:15" x14ac:dyDescent="0.35">
      <c r="A18" s="2" t="str">
        <f t="shared" si="3"/>
        <v>2019LSI</v>
      </c>
      <c r="B18">
        <v>2019</v>
      </c>
      <c r="C18" s="5" t="s">
        <v>1</v>
      </c>
      <c r="D18" s="1">
        <v>51823349</v>
      </c>
      <c r="E18">
        <v>2440</v>
      </c>
      <c r="F18" s="3">
        <v>4415000000000</v>
      </c>
      <c r="G18" s="3">
        <v>2133000000000</v>
      </c>
      <c r="H18">
        <v>0</v>
      </c>
    </row>
    <row r="19" spans="1:15" x14ac:dyDescent="0.35">
      <c r="A19" s="2" t="str">
        <f t="shared" si="3"/>
        <v>2018SI</v>
      </c>
      <c r="B19">
        <v>2018</v>
      </c>
      <c r="C19" s="5" t="s">
        <v>0</v>
      </c>
      <c r="D19" s="1">
        <v>428485342</v>
      </c>
      <c r="E19">
        <v>115</v>
      </c>
      <c r="F19" s="3">
        <v>19197000000000</v>
      </c>
      <c r="G19" s="3">
        <v>6382000000000</v>
      </c>
      <c r="H19">
        <v>26</v>
      </c>
    </row>
    <row r="20" spans="1:15" x14ac:dyDescent="0.35">
      <c r="A20" s="2" t="str">
        <f t="shared" si="3"/>
        <v>2018LSI</v>
      </c>
      <c r="B20">
        <v>2018</v>
      </c>
      <c r="C20" s="5" t="s">
        <v>1</v>
      </c>
      <c r="D20" s="1">
        <v>46299927</v>
      </c>
      <c r="E20">
        <v>2766</v>
      </c>
      <c r="F20" s="3">
        <v>4675000000000</v>
      </c>
      <c r="G20" s="3">
        <v>2180000000000</v>
      </c>
      <c r="H20">
        <v>0</v>
      </c>
    </row>
    <row r="21" spans="1:15" x14ac:dyDescent="0.35">
      <c r="A21" s="2" t="str">
        <f t="shared" si="3"/>
        <v>2017SI</v>
      </c>
      <c r="B21">
        <v>2017</v>
      </c>
      <c r="C21" s="5" t="s">
        <v>0</v>
      </c>
      <c r="D21" s="1">
        <v>391279654</v>
      </c>
      <c r="E21">
        <v>119</v>
      </c>
      <c r="F21" s="3">
        <v>19781000000000</v>
      </c>
      <c r="G21" s="3">
        <v>6577000000000</v>
      </c>
      <c r="H21">
        <v>19</v>
      </c>
    </row>
    <row r="22" spans="1:15" x14ac:dyDescent="0.35">
      <c r="A22" s="2" t="str">
        <f t="shared" si="3"/>
        <v>2017LSI</v>
      </c>
      <c r="B22">
        <v>2017</v>
      </c>
      <c r="C22" s="5" t="s">
        <v>1</v>
      </c>
      <c r="D22" s="1">
        <v>33677998</v>
      </c>
      <c r="E22">
        <v>2916</v>
      </c>
      <c r="F22" s="3">
        <v>4625000000000</v>
      </c>
      <c r="G22" s="3">
        <v>2141000000000</v>
      </c>
      <c r="H22">
        <v>0</v>
      </c>
    </row>
    <row r="23" spans="1:15" x14ac:dyDescent="0.35">
      <c r="A23" s="2" t="str">
        <f t="shared" si="3"/>
        <v>2016SI</v>
      </c>
      <c r="B23">
        <v>2016</v>
      </c>
      <c r="C23" s="5" t="s">
        <v>0</v>
      </c>
      <c r="D23" s="1">
        <v>357520301</v>
      </c>
      <c r="E23">
        <v>126</v>
      </c>
      <c r="F23" s="3">
        <v>20233000000000</v>
      </c>
      <c r="G23" s="3">
        <v>6773000000000</v>
      </c>
      <c r="H23">
        <v>20</v>
      </c>
    </row>
    <row r="24" spans="1:15" x14ac:dyDescent="0.35">
      <c r="A24" s="2" t="str">
        <f t="shared" si="3"/>
        <v>2016LSI</v>
      </c>
      <c r="B24">
        <v>2016</v>
      </c>
      <c r="C24" s="5" t="s">
        <v>1</v>
      </c>
      <c r="D24" s="1">
        <v>47015721</v>
      </c>
      <c r="E24">
        <v>3077</v>
      </c>
      <c r="F24" s="3">
        <v>4469000000000</v>
      </c>
      <c r="G24" s="3">
        <v>2137000000000</v>
      </c>
      <c r="H24">
        <v>0</v>
      </c>
    </row>
    <row r="25" spans="1:15" x14ac:dyDescent="0.35">
      <c r="A25" s="2" t="str">
        <f t="shared" si="3"/>
        <v>2015SI</v>
      </c>
      <c r="B25">
        <v>2015</v>
      </c>
      <c r="C25" s="5" t="s">
        <v>0</v>
      </c>
      <c r="D25" s="1">
        <v>264068941</v>
      </c>
      <c r="E25">
        <v>117</v>
      </c>
      <c r="F25" s="3">
        <v>20527000000000</v>
      </c>
      <c r="G25" s="3">
        <v>6811000000000</v>
      </c>
      <c r="H25">
        <v>19</v>
      </c>
    </row>
    <row r="26" spans="1:15" x14ac:dyDescent="0.35">
      <c r="A26" s="2" t="str">
        <f t="shared" si="3"/>
        <v>2015LSI</v>
      </c>
      <c r="B26">
        <v>2015</v>
      </c>
      <c r="C26" s="5" t="s">
        <v>1</v>
      </c>
      <c r="D26" s="1">
        <v>31944132</v>
      </c>
      <c r="E26">
        <v>3193</v>
      </c>
      <c r="F26" s="3">
        <v>4669000000000</v>
      </c>
      <c r="G26" s="3">
        <v>2219000000000</v>
      </c>
      <c r="H26">
        <v>0</v>
      </c>
    </row>
    <row r="27" spans="1:15" x14ac:dyDescent="0.35">
      <c r="A27" s="2" t="str">
        <f t="shared" si="3"/>
        <v>2014SI</v>
      </c>
      <c r="B27">
        <v>2014</v>
      </c>
      <c r="C27" s="5" t="s">
        <v>0</v>
      </c>
      <c r="D27" s="1">
        <v>25622812</v>
      </c>
      <c r="E27">
        <v>115</v>
      </c>
      <c r="F27" s="3">
        <v>20527000000000</v>
      </c>
      <c r="G27" s="3">
        <v>6811000000000</v>
      </c>
      <c r="H27">
        <v>15</v>
      </c>
    </row>
    <row r="28" spans="1:15" x14ac:dyDescent="0.35">
      <c r="A28" s="2" t="str">
        <f t="shared" si="3"/>
        <v>2014LSI</v>
      </c>
      <c r="B28">
        <v>2014</v>
      </c>
      <c r="C28" s="5" t="s">
        <v>1</v>
      </c>
      <c r="D28" s="1">
        <v>4350200</v>
      </c>
      <c r="E28">
        <v>3191</v>
      </c>
      <c r="F28" s="3">
        <v>4669000000000</v>
      </c>
      <c r="G28" s="3">
        <v>2219000000000</v>
      </c>
      <c r="H28">
        <v>0</v>
      </c>
    </row>
  </sheetData>
  <mergeCells count="1">
    <mergeCell ref="K3:L3"/>
  </mergeCells>
  <pageMargins left="0.7" right="0.7" top="0.75" bottom="0.75" header="0.3" footer="0.3"/>
  <pageSetup paperSize="9" scale="84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2023-05-12T10:13:32Z</dcterms:created>
  <dcterms:modified xsi:type="dcterms:W3CDTF">2025-05-14T08:29:18Z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4145f4-aec7-4462-867f-61720b9452af_Enabled">
    <vt:lpwstr>true</vt:lpwstr>
  </property>
  <property fmtid="{D5CDD505-2E9C-101B-9397-08002B2CF9AE}" pid="3" name="MSIP_Label_894145f4-aec7-4462-867f-61720b9452af_SetDate">
    <vt:lpwstr>2025-05-15T11:04:59Z</vt:lpwstr>
  </property>
  <property fmtid="{D5CDD505-2E9C-101B-9397-08002B2CF9AE}" pid="4" name="MSIP_Label_894145f4-aec7-4462-867f-61720b9452af_Method">
    <vt:lpwstr>Standard</vt:lpwstr>
  </property>
  <property fmtid="{D5CDD505-2E9C-101B-9397-08002B2CF9AE}" pid="5" name="MSIP_Label_894145f4-aec7-4462-867f-61720b9452af_Name">
    <vt:lpwstr>ECB-CONFIDENTIAL - Business</vt:lpwstr>
  </property>
  <property fmtid="{D5CDD505-2E9C-101B-9397-08002B2CF9AE}" pid="6" name="MSIP_Label_894145f4-aec7-4462-867f-61720b9452af_SiteId">
    <vt:lpwstr>b84ee435-4816-49d2-8d92-e740dbda4064</vt:lpwstr>
  </property>
  <property fmtid="{D5CDD505-2E9C-101B-9397-08002B2CF9AE}" pid="7" name="MSIP_Label_894145f4-aec7-4462-867f-61720b9452af_ActionId">
    <vt:lpwstr>86a29252-fbaa-4c1e-929b-5b78fbcd7b63</vt:lpwstr>
  </property>
  <property fmtid="{D5CDD505-2E9C-101B-9397-08002B2CF9AE}" pid="8" name="MSIP_Label_894145f4-aec7-4462-867f-61720b9452af_ContentBits">
    <vt:lpwstr>0</vt:lpwstr>
  </property>
</Properties>
</file>